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9259\Desktop\Dina\lietuvosregionai\Klaipėda\ITVP 2022\"/>
    </mc:Choice>
  </mc:AlternateContent>
  <bookViews>
    <workbookView xWindow="0" yWindow="0" windowWidth="19140" windowHeight="7350"/>
  </bookViews>
  <sheets>
    <sheet name="Lapas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1" i="1" l="1"/>
  <c r="O95" i="1" l="1"/>
  <c r="O100" i="1"/>
  <c r="M94" i="1" l="1"/>
  <c r="L74" i="1"/>
  <c r="L61" i="1"/>
  <c r="L56" i="1"/>
  <c r="N56" i="1"/>
  <c r="M56" i="1"/>
  <c r="L54" i="1"/>
  <c r="M54" i="1"/>
  <c r="L53" i="1"/>
  <c r="M53" i="1"/>
  <c r="L49" i="1"/>
  <c r="N49" i="1"/>
  <c r="M49" i="1"/>
  <c r="O96" i="1"/>
  <c r="O97" i="1"/>
  <c r="Q71" i="1"/>
  <c r="Q62" i="1" l="1"/>
  <c r="O62" i="1" s="1"/>
  <c r="P61" i="1"/>
  <c r="O51" i="1" l="1"/>
  <c r="P56" i="1"/>
  <c r="P94" i="1"/>
  <c r="P63" i="1"/>
  <c r="P53" i="1"/>
  <c r="O54" i="1"/>
  <c r="Q54" i="1"/>
  <c r="P54" i="1" l="1"/>
  <c r="O49" i="1" l="1"/>
  <c r="O52" i="1" l="1"/>
  <c r="P52" i="1"/>
  <c r="Q73" i="1"/>
  <c r="O73" i="1" s="1"/>
  <c r="O75" i="1" l="1"/>
  <c r="P76" i="1"/>
  <c r="Q94" i="1" l="1"/>
  <c r="O89" i="1"/>
  <c r="Q89" i="1"/>
  <c r="P89" i="1" l="1"/>
  <c r="O88" i="1"/>
  <c r="P88" i="1"/>
  <c r="Q88" i="1"/>
  <c r="L88" i="1"/>
  <c r="M88" i="1"/>
  <c r="Q92" i="1" l="1"/>
  <c r="O92" i="1" s="1"/>
  <c r="Q91" i="1" l="1"/>
  <c r="M91" i="1"/>
  <c r="P91" i="1" s="1"/>
  <c r="Q98" i="1"/>
  <c r="P98" i="1"/>
  <c r="O98" i="1"/>
  <c r="L91" i="1" l="1"/>
  <c r="G91" i="1"/>
  <c r="Q51" i="1" l="1"/>
  <c r="O91" i="1" l="1"/>
  <c r="O53" i="1" l="1"/>
  <c r="O74" i="1" l="1"/>
  <c r="O72" i="1" l="1"/>
  <c r="O50" i="1" l="1"/>
  <c r="O56" i="1" l="1"/>
  <c r="O61" i="1"/>
  <c r="L106" i="1" l="1"/>
  <c r="M76" i="1"/>
  <c r="L76" i="1"/>
  <c r="O103" i="1"/>
  <c r="P103" i="1" s="1"/>
  <c r="Q90" i="1"/>
  <c r="O90" i="1"/>
  <c r="N105" i="1" l="1"/>
  <c r="M95" i="1"/>
  <c r="N95" i="1"/>
  <c r="N94" i="1"/>
  <c r="N92" i="1"/>
  <c r="M90" i="1"/>
  <c r="P90" i="1" s="1"/>
  <c r="M89" i="1"/>
  <c r="N73" i="1"/>
  <c r="N71" i="1"/>
  <c r="M60" i="1"/>
  <c r="L55" i="1"/>
  <c r="M52" i="1"/>
  <c r="P106" i="1" l="1"/>
  <c r="P107" i="1" s="1"/>
  <c r="M106" i="1"/>
  <c r="N76" i="1"/>
  <c r="N106" i="1"/>
  <c r="M63" i="1"/>
  <c r="N55" i="1"/>
  <c r="L63" i="1"/>
  <c r="L107" i="1" s="1"/>
  <c r="M107" i="1" l="1"/>
  <c r="O71" i="1"/>
  <c r="O76" i="1" s="1"/>
  <c r="Q76" i="1"/>
  <c r="O55" i="1"/>
  <c r="O63" i="1" s="1"/>
  <c r="N63" i="1"/>
  <c r="N107" i="1" s="1"/>
  <c r="Q55" i="1" l="1"/>
  <c r="Q63" i="1" s="1"/>
  <c r="Q106" i="1"/>
  <c r="O106" i="1"/>
  <c r="O107" i="1" l="1"/>
  <c r="Q107" i="1"/>
</calcChain>
</file>

<file path=xl/sharedStrings.xml><?xml version="1.0" encoding="utf-8"?>
<sst xmlns="http://schemas.openxmlformats.org/spreadsheetml/2006/main" count="402" uniqueCount="288">
  <si>
    <t>Nr.</t>
  </si>
  <si>
    <t>Kodas</t>
  </si>
  <si>
    <t>Pavadinimas, mato vnt.</t>
  </si>
  <si>
    <t>Pasiekta  reikšmė</t>
  </si>
  <si>
    <t xml:space="preserve">Iš viso </t>
  </si>
  <si>
    <t>1.1.</t>
  </si>
  <si>
    <t>1.1.1.</t>
  </si>
  <si>
    <t>Stiprybės</t>
  </si>
  <si>
    <t>1.</t>
  </si>
  <si>
    <t>Silpnybės</t>
  </si>
  <si>
    <t>Galimybės</t>
  </si>
  <si>
    <t>Grėsmės</t>
  </si>
  <si>
    <t>(įrašomas programos pavadinimas)</t>
  </si>
  <si>
    <t xml:space="preserve"> ĮGYVENDINIMO ATASKAITA</t>
  </si>
  <si>
    <t>(įrašoma programos parengimo data, registracijos numeris)</t>
  </si>
  <si>
    <t>Priemonei / veiksmui įgyvendinti panaudotos lėšos   (Eur)</t>
  </si>
  <si>
    <t>Planuojamos skirti veiksmo vykdytojo  ir partnerio (-ių) lėšos</t>
  </si>
  <si>
    <t>Išmokėtos veiksmo vykdytojo  ir partnerio (-ių) lėšos</t>
  </si>
  <si>
    <t>Planuojamas skirti finansavimas (iš valstybės biudžeto, ES fondų ir kitos tarptautinės finansinės paramos lėšų)</t>
  </si>
  <si>
    <t>Išmokėtas finansavimas (iš valstybės biudžeto, ES fondų ir kitos tarptautinės finansinės paramos lėšų)</t>
  </si>
  <si>
    <t>Tikslo / uždavinio / priemonės / veiksmo pavadinimai*</t>
  </si>
  <si>
    <t>1 lentelė. Programos SSGG lentelėje nurodytų veiksnių pokyčių įvertinimas</t>
  </si>
  <si>
    <t>Veiksnių pokyčių vertinimas**</t>
  </si>
  <si>
    <t>Veiksniai*</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</si>
  <si>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</si>
  <si>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Programos įgyvendinimo rodikliai**</t>
  </si>
  <si>
    <t>2 lentelė. Programos įgyvendinimo pažanga nuo programos įgyvendinimo pradžios</t>
  </si>
  <si>
    <t>Programos įgyvendinimo veiksmai</t>
  </si>
  <si>
    <t>Programoje suplanuota veiksmo pradžia</t>
  </si>
  <si>
    <t>Programoje suplanuota veiksmo pabaiga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</si>
  <si>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</si>
  <si>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Papildoma informacija, paaiškinimai</t>
  </si>
  <si>
    <t>Suplanuota 2023 m. pasiekti  reikšmė***</t>
  </si>
  <si>
    <t xml:space="preserve">Suplanuota iki ataskaitinių metų pabaigos pasiekti reikšmė**** </t>
  </si>
  <si>
    <t>Veiksmo įgyvendinimo būklė*****</t>
  </si>
  <si>
    <t>Veiksmą atitinkančio projekto Nr.******</t>
  </si>
  <si>
    <t>Priemonei / veiksmui įgyvendinti programoje numatytas lėšų poreikis (Eur)</t>
  </si>
  <si>
    <t>* Nurodomos programos  SSGG lentelėje nustatytos ir programos įgyvendinimo metu naujai paaiškėjusios stiprybės, silpnybės (problemos), galimybės ir grėsmės;</t>
  </si>
  <si>
    <t>Integruotų teritorijų vystymo programų 
rengimo ir įgyvendinimo gairių 4 priedas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</si>
  <si>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</si>
  <si>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</si>
  <si>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</si>
  <si>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</si>
  <si>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</si>
  <si>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Klaipėdos miesto integruota teritorijų vystymo programa</t>
  </si>
  <si>
    <t>2016 m. vasario 12 d. Nr. 1V-102</t>
  </si>
  <si>
    <t>2.Teritorijoje yra didelė koncentracija viešąsias paslaugas teikiančių įstaigų</t>
  </si>
  <si>
    <t xml:space="preserve">3.Tinkamų konversijai plotų potencialas </t>
  </si>
  <si>
    <t>1. Nepalanki demografinė struktūra</t>
  </si>
  <si>
    <t>2. Socialinės problemos</t>
  </si>
  <si>
    <t xml:space="preserve">3. Aplinkos tarša </t>
  </si>
  <si>
    <t>1. Augantis Klaipėdos valstybinio jūrų uosto potencialas ir LEZ plėtra</t>
  </si>
  <si>
    <t>2. Mokymosi visą gyvenimą aktualumo didėjimas (povidurinio mokymo įstaigų (profesinių mokyklų, kolegijų, universitetų) kokybiniai pokyčiai bei plėtra)</t>
  </si>
  <si>
    <t xml:space="preserve">1. Neigiami demografiniai pokyčiai </t>
  </si>
  <si>
    <t>2. Energijos išteklių mažėjimas, jų brangimas</t>
  </si>
  <si>
    <t>1-E</t>
  </si>
  <si>
    <t>1-R-1</t>
  </si>
  <si>
    <t>1.1.P-1</t>
  </si>
  <si>
    <t>1.1.P-2</t>
  </si>
  <si>
    <t>1.1.P-3</t>
  </si>
  <si>
    <t>1.1.P-4</t>
  </si>
  <si>
    <t>1.1.P-5</t>
  </si>
  <si>
    <t>1.1.P-6</t>
  </si>
  <si>
    <t>1.1.P-7</t>
  </si>
  <si>
    <t>1.1.P-8</t>
  </si>
  <si>
    <t xml:space="preserve">Įgyvendinamas </t>
  </si>
  <si>
    <t>_</t>
  </si>
  <si>
    <t>Įgyvendinamas</t>
  </si>
  <si>
    <t xml:space="preserve">Baigtas </t>
  </si>
  <si>
    <t>Produkto vertinimo kriterijus: Modernizuoti kultūros infrastruktūros objektai, vnt.</t>
  </si>
  <si>
    <t>1.2.</t>
  </si>
  <si>
    <t>1-R-2</t>
  </si>
  <si>
    <t>1.2.P-1</t>
  </si>
  <si>
    <t>1.2.P-2</t>
  </si>
  <si>
    <t>1.2.P-3</t>
  </si>
  <si>
    <t>1.2.P-4</t>
  </si>
  <si>
    <t>1.2.P-6</t>
  </si>
  <si>
    <t>1.2.P-5</t>
  </si>
  <si>
    <t>1.2.1.</t>
  </si>
  <si>
    <t>1.1.2</t>
  </si>
  <si>
    <t>1.1.3</t>
  </si>
  <si>
    <t>1.1.4</t>
  </si>
  <si>
    <t>1.1.5</t>
  </si>
  <si>
    <t>1.1.6</t>
  </si>
  <si>
    <t>1.1.7</t>
  </si>
  <si>
    <t>1.1.8</t>
  </si>
  <si>
    <t>1.1.9</t>
  </si>
  <si>
    <t>1.1.10</t>
  </si>
  <si>
    <t>1.1.11</t>
  </si>
  <si>
    <t>1.1.12</t>
  </si>
  <si>
    <t>1.1.13</t>
  </si>
  <si>
    <t>1.1.14</t>
  </si>
  <si>
    <t>1.1.15</t>
  </si>
  <si>
    <t>1.2.2</t>
  </si>
  <si>
    <t>1.2.3</t>
  </si>
  <si>
    <t>1.2.4</t>
  </si>
  <si>
    <t>1.2.5</t>
  </si>
  <si>
    <t>1.3.</t>
  </si>
  <si>
    <t>1-R-3</t>
  </si>
  <si>
    <t>1.3.P-1</t>
  </si>
  <si>
    <t>1.3.P-2</t>
  </si>
  <si>
    <t>1.3.P-3</t>
  </si>
  <si>
    <t>1.3.P-4</t>
  </si>
  <si>
    <t>1.3.P-5</t>
  </si>
  <si>
    <t>1.3.P-6</t>
  </si>
  <si>
    <t>1.3.P-7</t>
  </si>
  <si>
    <t>1.3.P-8</t>
  </si>
  <si>
    <t>1.3.P-9</t>
  </si>
  <si>
    <t>1.3.P-10</t>
  </si>
  <si>
    <t>1.3.1.</t>
  </si>
  <si>
    <t>1.3.2</t>
  </si>
  <si>
    <t>1.3.3</t>
  </si>
  <si>
    <t>1.3.4</t>
  </si>
  <si>
    <t>1.3.5</t>
  </si>
  <si>
    <t>Iš viso</t>
  </si>
  <si>
    <t>1.3.7</t>
  </si>
  <si>
    <t>1.3.6</t>
  </si>
  <si>
    <t>1.3.8</t>
  </si>
  <si>
    <t>1.3.9</t>
  </si>
  <si>
    <t>1.3.10</t>
  </si>
  <si>
    <t>1.3.11</t>
  </si>
  <si>
    <t>Parengtas techninis projektas</t>
  </si>
  <si>
    <t>1.3.12</t>
  </si>
  <si>
    <t>1.3.13</t>
  </si>
  <si>
    <t>1.3.14</t>
  </si>
  <si>
    <t>1.3.15</t>
  </si>
  <si>
    <t>1.3.P-0</t>
  </si>
  <si>
    <t>07.1.1.-CPVA-V-304-01-0019</t>
  </si>
  <si>
    <t xml:space="preserve">Gyventojų skaičius programos įgyvendinimo teritorijoje </t>
  </si>
  <si>
    <t>Didinti tikslinės teritorijos patrauklumą gyventojams</t>
  </si>
  <si>
    <t>Sudaryti sąlygas SVV kūrimuisi ir užimtumo didinimui tikslinėje teritorijoje</t>
  </si>
  <si>
    <t>Naujai įsikūrusių įmonių ar jų padalinių (vietos vienetų) sutvarkytoje teritorijoje skaičius, vnt.</t>
  </si>
  <si>
    <r>
      <rPr>
        <sz val="9"/>
        <rFont val="Times New Roman"/>
        <family val="1"/>
      </rPr>
      <t>Sukurtos arba atnaujintos viešosios erdvės, m</t>
    </r>
    <r>
      <rPr>
        <vertAlign val="superscript"/>
        <sz val="9"/>
        <rFont val="Times New Roman"/>
        <family val="1"/>
        <charset val="186"/>
      </rPr>
      <t>2</t>
    </r>
  </si>
  <si>
    <t>Bendras rekonstruotų arba atnaujintų kelių ilgis, km</t>
  </si>
  <si>
    <t>Sutvarkyti, įrengti ir pritaikyti lankymui gamtos, kultūros ir kultūros paveldo objektai ir teritorijos, vnt.</t>
  </si>
  <si>
    <t>BIVP projektų veiklų dalyviai (įskaitant visas tikslines grupes), skaičius</t>
  </si>
  <si>
    <t>Bendras naujai nutiestų kelių ilgis, km</t>
  </si>
  <si>
    <t>Modernizuoti kultūros infrastruktūros objektai, vnt.</t>
  </si>
  <si>
    <t>Parengtas techninis projektas, vnt.</t>
  </si>
  <si>
    <t>Parengta galimybių studija,vnt.</t>
  </si>
  <si>
    <t>Bastionų gatvės su nauju tiltu per Danės upę statyba</t>
  </si>
  <si>
    <t xml:space="preserve">Danės upės krantinių rekonstrukcija (nuo Biržos tilto) ir prieigų (Danės skvero su fontanais) sutvarkymas </t>
  </si>
  <si>
    <r>
      <t xml:space="preserve"> Sukurtos arba atnaujintos atviros erdvės miestų vietovėse, m</t>
    </r>
    <r>
      <rPr>
        <vertAlign val="superscript"/>
        <sz val="9"/>
        <rFont val="Times New Roman"/>
        <family val="1"/>
        <charset val="186"/>
      </rPr>
      <t>2</t>
    </r>
  </si>
  <si>
    <t>Turgaus aikštės su prieigomis sutvarkymas, pritaikant verslo, bendruomenės poreikiams</t>
  </si>
  <si>
    <t>Atgimimo aikštės sutvarkymas, didinant patrauklumą investicijoms, skatinant lankytojų srautus</t>
  </si>
  <si>
    <t>Bastionų komplekso (Jono kalnelio) ir jo prieigų sutvarkymas, sukuriant išskirtinį kultūros ir turizmo traukos centrą bei skatinant smulkųjį ir vidutinį verslą</t>
  </si>
  <si>
    <r>
      <t>Sukurtos arba atnaujintos atviros erdvės miestų vietovėse, m</t>
    </r>
    <r>
      <rPr>
        <vertAlign val="superscript"/>
        <sz val="9"/>
        <rFont val="Times New Roman"/>
        <family val="1"/>
        <charset val="186"/>
      </rPr>
      <t>2</t>
    </r>
  </si>
  <si>
    <t>Viešosios erdvės prie buvusio „Vaidilos“ kino teatro konversija</t>
  </si>
  <si>
    <t>Fachverkinės architektūros pastatų sutvarkymas (Bažnyčių g. 4 / Daržų g. 10; Aukštoji g. 1 / Didžioji Vandens g. 2; Vežėjų g. 4; Bažnyčių g. 6)</t>
  </si>
  <si>
    <t>Naujo įvažiuojamojo kelio (Priešpilio g.) į Piliavietę ir Kruizinių laivų terminalą tiesimas</t>
  </si>
  <si>
    <r>
      <t xml:space="preserve"> </t>
    </r>
    <r>
      <rPr>
        <sz val="9"/>
        <color theme="1"/>
        <rFont val="Times New Roman"/>
        <family val="1"/>
        <charset val="186"/>
      </rPr>
      <t>Šv. Jono bažnyčios atstatymas ir pritaikymas bendruomenės reikmėms</t>
    </r>
  </si>
  <si>
    <t xml:space="preserve"> Parengtas techninis projektas, vnt.</t>
  </si>
  <si>
    <t>Buvusios AB „Klaipėdos energija“ teritorijos dalies  konversija, sudarant sąlygas vystyti komercines, rekreacines veiklas</t>
  </si>
  <si>
    <t>Klaipėdos valstybinio muzikinio teatro modernizavimas</t>
  </si>
  <si>
    <t>Šilutės plento ruožo nuo Tilžės g. iki geležinkelio pervažos (iki Kauno g.) rekonstrukcija</t>
  </si>
  <si>
    <r>
      <t xml:space="preserve"> M</t>
    </r>
    <r>
      <rPr>
        <b/>
        <i/>
        <sz val="9"/>
        <rFont val="Times New Roman"/>
        <family val="1"/>
        <charset val="186"/>
      </rPr>
      <t>ažinti gyvenamosios aplinkos užterštumą</t>
    </r>
  </si>
  <si>
    <t>Visuomeninių renginių infrastruktūros buvusioje pilies teritorijoje (Pilies g. 4) suformavimas: Klaipėdos pilies ir bastionų komplekso šiaurinės kurtinos atkūrimas ir bastionų tvarkybos darbai</t>
  </si>
  <si>
    <t>Parų skaičius per metus, kai buvo viršijamos ribinės kietųjų dalelių (KD10) vertės, vnt. (stacionarioje aplinkos oro kokybės matavimo stotyje, esančioje Bangų g. 7)</t>
  </si>
  <si>
    <t xml:space="preserve"> Bendras rekonstruotų arba atnaujintų kelių ilgis, km</t>
  </si>
  <si>
    <t>Įgyvendintos darnaus judumo priemonės, vnt.</t>
  </si>
  <si>
    <t>Įsigyti gatvių valymo įrengimai, skaičius</t>
  </si>
  <si>
    <t xml:space="preserve"> Namų ūkių, priskirtų geresnei energijos vartojimo efektyvumo klasei, skaičius</t>
  </si>
  <si>
    <t>Lietaus nuotėkio plotas, iš kurio surenkamam paviršiniam (lietaus) vandeniui tvarkyti, įrengta ir (ar) rekonstruota infrastruktūra, ha</t>
  </si>
  <si>
    <t>Tilžės g. nuo Šilutės pl. iki geležinkelio pervažos rekonstrukcija, pertvarkant žiedinę Mokyklos g. ir Šilutės pl. sankryžą</t>
  </si>
  <si>
    <t>Dviračių ir pėsčiųjų tako nuo Paryžiaus Komunos g. iki Jono kalnelio tiltelio įrengimas</t>
  </si>
  <si>
    <t xml:space="preserve"> Įrengtų naujų dviračių ir (ar) pėsčiųjų takų ir (ar) trasų ilgis, km</t>
  </si>
  <si>
    <r>
      <t xml:space="preserve"> </t>
    </r>
    <r>
      <rPr>
        <sz val="9"/>
        <rFont val="Times New Roman"/>
        <family val="1"/>
        <charset val="186"/>
      </rPr>
      <t>Darnaus judumo priemonių diegimas Klaipėdos mieste</t>
    </r>
  </si>
  <si>
    <t>Oro taršos kietosiomis dalelėmis mažinimas, atnaujinant gatvių priežiūros ir valymo technologijas</t>
  </si>
  <si>
    <t xml:space="preserve"> Įsigyti gatvių valymo įrengimai, skaičius</t>
  </si>
  <si>
    <r>
      <t xml:space="preserve"> </t>
    </r>
    <r>
      <rPr>
        <b/>
        <i/>
        <sz val="9"/>
        <rFont val="Times New Roman"/>
        <family val="1"/>
        <charset val="186"/>
      </rPr>
      <t>Sukurti saugią ir patrauklią aplinką gyventojams</t>
    </r>
  </si>
  <si>
    <t xml:space="preserve">Nusikalstamų veikų skaičius tikslinėje teritorijoje, vnt. </t>
  </si>
  <si>
    <r>
      <rPr>
        <sz val="9"/>
        <rFont val="Times New Roman"/>
        <family val="1"/>
      </rPr>
      <t>Sukurtos arba atnaujintos atviros erdvės miestų vietovėse, m</t>
    </r>
    <r>
      <rPr>
        <vertAlign val="superscript"/>
        <sz val="9"/>
        <rFont val="Times New Roman"/>
        <family val="1"/>
        <charset val="186"/>
      </rPr>
      <t>2</t>
    </r>
  </si>
  <si>
    <t>Investicijas gavę socialinių paslaugų infrastruktūros objektai, vnt.</t>
  </si>
  <si>
    <t>Modernizuoti kultūros infrastruktūros objektai, skaičius</t>
  </si>
  <si>
    <t>Ąžuolyno giraitės sutvarkymas, gerinant gamtinę aplinką ir skatinant aktyvų laisvalaikį bei lankytojų srautus</t>
  </si>
  <si>
    <t xml:space="preserve">Malūno parko teritorijos sutvarkymas, gerinant gamtinę aplinką ir skatinant lankytojų srautus </t>
  </si>
  <si>
    <r>
      <rPr>
        <sz val="9"/>
        <rFont val="Times New Roman"/>
        <family val="1"/>
      </rPr>
      <t xml:space="preserve"> Sukurtos arba atnaujintos atviros erdvės miestų vietovėse, m</t>
    </r>
    <r>
      <rPr>
        <vertAlign val="superscript"/>
        <sz val="9"/>
        <rFont val="Times New Roman"/>
        <family val="1"/>
        <charset val="186"/>
      </rPr>
      <t>2</t>
    </r>
  </si>
  <si>
    <t>Futbolo mokyklos ir baseino pastato konversija (I etapas (įkuriant daugiafunkcį paslaugų kompleksą, skirtą įvairių amžiaus grupių kvartalo gyventojams ir sporto bendruomenei</t>
  </si>
  <si>
    <r>
      <t>Pastatyti arba atnaujinti viešieji arba komerciniai pastatai miestų vietovėse, m</t>
    </r>
    <r>
      <rPr>
        <vertAlign val="superscript"/>
        <sz val="9"/>
        <rFont val="Times New Roman"/>
        <family val="1"/>
        <charset val="186"/>
      </rPr>
      <t>2</t>
    </r>
  </si>
  <si>
    <t>Futbolo mokyklos ir baseino pastato konversija (II etapas (įkuriant daugiafunkcį paslaugų kompleksą, skirtą įvairių amžiaus grupių kvartalo gyventojams ir sporto bendruomenei (Paryžiaus Komunos g. 16 A))</t>
  </si>
  <si>
    <t>Kompleksinis tikslinės teritorijos daugiabučių namų kiemų tvarkymas</t>
  </si>
  <si>
    <t>Komunalinių atliekų tvarkymo infrastruktūros plėtra Klaipėdos miesto, Skuodo ir Kretingos rajonų bei Neringos savivaldybėse</t>
  </si>
  <si>
    <t>Sukurti ar pagerinti atskiro komunalinių atliekų surinkimo pajėgumai – tonos / metai</t>
  </si>
  <si>
    <t>Klaipėdos miesto savivaldybės viešosios bibliotekos „Kauno atžalyno“ filialo plėtra – naujos galimybės mažiems ir dideliems</t>
  </si>
  <si>
    <t>Laikino apnakvindinimo namų steigimas</t>
  </si>
  <si>
    <t>Investicijas gavusiose įstaigose esančios vietos socialinių paslaugų gavėjams, vnt.</t>
  </si>
  <si>
    <t>Klaipėdos karalienės Luizės jaunimo centro  (Puodžių g. 1) modernizavimas, siekiant plėtoti vaikų ir jaunimo neformalaus ugdymosi galimybes</t>
  </si>
  <si>
    <t>Socialinio kultūrinio klasterio „Vilties miestas“ Klaipėdoje aplinkos ir gerbūvio sutvarkymas</t>
  </si>
  <si>
    <t>Sutvarkyta teritorija, proc.</t>
  </si>
  <si>
    <t>Vaikų dienos centro-vaikų darželio statyba</t>
  </si>
  <si>
    <t>Klaipėdos daugiafunkcio sveikatingumo centro statyba</t>
  </si>
  <si>
    <t xml:space="preserve">Projektas įgyvendintas 2019 m. </t>
  </si>
  <si>
    <t>Laikino apgyvendinimo namų infrastruktūros modernizavimas (Šilutės pl. 8, nakvynės namai)</t>
  </si>
  <si>
    <t>Savanorių gatvės rekonstrukcija</t>
  </si>
  <si>
    <t>Techninis projektas parengtas 2016 m. Įgyvendinimą nuspręsta nukelti vėlesniam laikui arba atsiradus galimybei finansuoti projektą ne iš savivaldybės lėšų.</t>
  </si>
  <si>
    <t>Projektas įgyvendintas 2017 metais.</t>
  </si>
  <si>
    <t xml:space="preserve">Kultūrų diasporų centro infrastruktūros kompleksinė plėtra </t>
  </si>
  <si>
    <t>Iš viso 1.1. uždaviniui:</t>
  </si>
  <si>
    <t>Įrengtų naujų dviračių ir (ar) pėsčiųjų takų ir (ar) trasų ilgis, km</t>
  </si>
  <si>
    <t>Paviršinių nuotekų sistemų tvarkymas Klaipėdos mieste</t>
  </si>
  <si>
    <t xml:space="preserve"> Investicijas gavusiose įstaigose esančios vietos socialinių paslaugų gavėjams, vnt.</t>
  </si>
  <si>
    <t>Investicijas gavusios vaikų priežiūros arba švietimo infrastruktūros pajėgumas</t>
  </si>
  <si>
    <t>2019 m. įgyvendintas projektas Nr.1.3.10 "Laikino apnakvindinimo namų steigimas".</t>
  </si>
  <si>
    <t>2019 m. įgyvendintas projektas Nr. 1.3.10 "Laikino apnakvindinimo namų steigimas".</t>
  </si>
  <si>
    <t>Pėsčiųjų tako sutvarkymas palei Taikos pr. nuo Sausio 15-osios iki Kauno g., paverčiant viešąja erdve, pritaikyta gyventojams bei smulkiajam ir vidutiniam verslui</t>
  </si>
  <si>
    <t>2020 m. įgyvendintas projektas Nr. 1.1.8 "Naujo įvažiuojamojo kelio (Priešpilio g.) į Piliavietę ir Kruizinių laivų terminalą tiesimas".</t>
  </si>
  <si>
    <t>2018 m. įgyvendintas projektas Nr. 1.1.12 "Visuomeninių renginių infrastruktūros buvusioje pilies teritorijoje (Pilies g. 4) suformavimas: Klaipėdos pilies ir bastionų komplekso šiaurinės kurtinos atkūrimas ir bastionų tvarkybos darbai". 2020 m. įgyvendintas projektas Nr. 1.1.9 "Fachverkinės architektūros pastatų sutvarkymas (Bažnyčių g. 4 / Daržų g. 10; Aukštoji g. 1 / Didžioji Vandens g. 2; Vežėjų g. 4; Bažnyčių g. 6)".</t>
  </si>
  <si>
    <t>Teatro ir Sukilėlių gatvių rekonstrukcija</t>
  </si>
  <si>
    <t>Iš viso 1.2. uždaviniui:</t>
  </si>
  <si>
    <t>Iš viso 1.3. uždaviniui:</t>
  </si>
  <si>
    <t>Iš viso programai:</t>
  </si>
  <si>
    <t>07.1.1-CPVA-R-904-31-0007</t>
  </si>
  <si>
    <t>07.1.1-CPVA-R-904-31-0002</t>
  </si>
  <si>
    <t>07.1.1-CPVA-R-904-31-0011</t>
  </si>
  <si>
    <t>07.1.1-CPVA-R-904-31-0014</t>
  </si>
  <si>
    <t>05.4.1-CPVA-R-302-31-0006</t>
  </si>
  <si>
    <t>06.2.1-TID-R-511-31-0011</t>
  </si>
  <si>
    <t>06.2.1-TID-R-511-31-0013</t>
  </si>
  <si>
    <t>06.2.1-TID-R-511-31-0004</t>
  </si>
  <si>
    <t>04.5.1-TID-R-516-31-0003</t>
  </si>
  <si>
    <t>04.5.1-TID-R-514-31-0003</t>
  </si>
  <si>
    <t>05.6.1-APVA-V-021-01-0003</t>
  </si>
  <si>
    <t>05.1.1-APVA-R-007-31-0001</t>
  </si>
  <si>
    <t>07.1.1-CPVA-R-904-31-0009</t>
  </si>
  <si>
    <t>07.1.1-CPVA-R-904-31-0006</t>
  </si>
  <si>
    <t>07.1.1-CPVA-V-906-01-0002</t>
  </si>
  <si>
    <t>07.1.1-CPVA-R-904-31-0012</t>
  </si>
  <si>
    <t>05.2.1-APVA-R-008-31-0004</t>
  </si>
  <si>
    <t>07.1.1-CPVA-R-305-31-0005</t>
  </si>
  <si>
    <t>09.1.3-CPVA-R-725-31-0005</t>
  </si>
  <si>
    <t>08.1.1-CPVA-R-407-31-0004</t>
  </si>
  <si>
    <t>08.1.1-CPVA-R-407-31-0006</t>
  </si>
  <si>
    <t>07.1.1-CPVA-R-305-31-0003</t>
  </si>
  <si>
    <t xml:space="preserve">Projektas įgyvendintas 2018 m. </t>
  </si>
  <si>
    <t>Projektas įgyvendintas 2020 m.</t>
  </si>
  <si>
    <t>Informacija paimta iš internetinio puslapio https://gamta.lt/cms/index</t>
  </si>
  <si>
    <t>Informacija gauta iš psl. http://www.ird.lt</t>
  </si>
  <si>
    <t xml:space="preserve">1. Konkurencinga geografiniu ir urbanistiniu požiūriu tikslinė teritorija </t>
  </si>
  <si>
    <t xml:space="preserve">Sovietinės statybos daugiabučių namų kvartaluose (Paryžiaus Komunos g., Kauno g., Rumšiškės g. ir kt.) gyvena daugiau vyresnio amžiaus žmonių. Didelį gyventojų procentą sudaro pensinio amžiaus gyventojai. </t>
  </si>
  <si>
    <t>Lietuva išsiskiria ilga vidutine (tikėtina) mokymosi trukme – 7–24 m. amžiaus gyventojų grupėje ( 2014 m. -2020 m.) vidutiniškai 15,1 metų. Visgi žinių ir įgūdžių, kurios įgyjamos mokykloje ar universitete, neužtenka visam gyvenimui šiuolaikinės ekonomikos ir darbo rinkos sąlygomis, o mokymosi visą gyvenimą lygis (besimokančių 18–65 metų asmenų dalis) Lietuvoje yra žemesnis, negu vidutiniškai ES valstybėse narėse (atitinkamai – 12,2 ir 16,3 proc.). Siekiant prisitaikyti prie besikeičiančios aplinkos ir naujų technologijų atsiranda poreikis nuolat gilinti žinias ir tęsti mokslus toliau. Prielaidas pasinaudoti šia galimybe sudaro geras profesinio ir aukštojo mokslo prieinamumas Klaipėdoje. Klaipėdoje yra 7 profesinio mokymo įstaigos, 7 aukštosios mokyklos – 5 kolegijos ir 2 universitetai, kuriose studijuoja daugiau nei 10 tūkst. studentų. Klaipėdos profesinės mokyklos: Klaipėdos laivininkų mokykla (Rambyno g. 14) – apie 316 studentų, Klaipėdos laivų statybos ir remonto mokykla (Statybininkų pr. 39) – apie 370 studentų, Klaipėdos paslaugų ir verslo mokykla (J. Janonio g. 13) – apie 1015 studentų, Klaipėdos siuvimo ir paslaugų verslo mokykla (Puodžių g. 10) – apie 616 studentų, Klaipėdos Ernesto Galvanausko profesinio mokymo centras (Taikos pr. 67) –  813 studentų, Klaipėdos turizmo mokykla (Taikos pr. 69) – apie 776 studentai. Kolegijos: Klaipėdos valstybinė kolegija (Jaunystės g. 1), Klaipėdos verslo aukštoji mokykla (Tilžės g. 46A), Lietuvos aukštoji jūreivystės mokykla (I. Kanto g. 7), VšĮ Socialinių mokslų kolegija (Nemuno g. 2), VšĮ Vakarų Lietuvos verslo kolegija (Šilutės pl. 2); universitetai: Klaipėdos universitetas (Herkaus Manto g. 84) – apie 3000 studentų, VšĮ LCC tarptautinis universitetas (Kretingos g. 36) – apie 700 studentų.</t>
  </si>
  <si>
    <t>Teritorija apima centrinę miesto dalį ir yra tarp senamiesčio ir komercinio centro. Kvartalo pasiekiamumas visuomeniniu transportu išvystytas optimaliai. Gaunami pasiūlymai investuoti į objektus, esančius tikslinės teritorijos rajone. Teritorijoje yra daug parkų, viešųjų erdvių (Malūno parkas, Ąžuolų giraitė, skveras prieš buvusį „Vaidilos“ kino teatrą ir t. t.). Tinkamai sutvarkytos bus patrauklios tiek teritorijos gyventojams, tiek miestiečiams ir svečiams. Teritorijoje yra visi reikalingi tinklai: elektros, šilumos, vandens tiekimo ir nuotekų.</t>
  </si>
  <si>
    <t xml:space="preserve">2021 m. baigti rangos darbai. </t>
  </si>
  <si>
    <t>Projektą įgyvendina Mažesniųjų brolių ordino Lietuvos Šv. Kazimiero provincijos Klaipėdos Šv. Pranciškaus Asyžiečio vienuolynas (toliau - Pranciškonų vienuolynas). 2021 m. projektas išskaidytas etapais. Parengtas I etapo techninis projektas, pagal kurį pradėti statyti lauko darželio statiniai, planuojama I etapo pabaiga 2022 m. II ketvirtis.</t>
  </si>
  <si>
    <t>Projektą įgyvendina Pranciškonų vienuolynas. 2018 m. balandžio mėn. pasirašyta finansavimo sutartis dėl ES lėšų skyrimo. Įsisavintų lėšų dalis yra 91,34 %. Per 2021m. pilnai užbaigti Vienuolyno dalies patalpų remonto darbai, pritaikant jas kultūrinei veiklai, įrengiant meno "Galeriją 1252". Taip pat atliktas meno kūrinių atrinkimas ekspozicijai, įvykdytas ekspozicinės įrangos pirkimas, paveikslų pasportavimas ir rėminimas, dalis darbų iškabinti ekspozicijai. Liko įsigyti lankytojų aptarnavimui skirtus baldus ir įrangą.</t>
  </si>
  <si>
    <t>Projektas įgyvendintas 2018 m. Statybos užbaigimo aktas gautas 2018-05-11.</t>
  </si>
  <si>
    <t>Nuo rangos darbų pradžios atlikta 98 proc. darbų I teritorijoje, 92 proc. darbų II teritorijoje; 9,5 proc. – III teritorijoje.</t>
  </si>
  <si>
    <t>Vykdomi parko įrengimo rangos darbai.  Iki 2021 m. pabaigos atlikta 85 proc. darbų</t>
  </si>
  <si>
    <t>Projektas įgyvendintas 2021 m. Statybos užbaigimo aktas gautas 2021-05-20.</t>
  </si>
  <si>
    <t xml:space="preserve">Projekto vykdytojas - AB "Klaipėdos vanduo". Įgyvendinant šį projektą buvo vykdomos šešios rangos sutartys. Rangos darbai baigti 2021 m.  Įrengti nuotekų valymo įrenginiai Mokyklos g. ,Trinyčių gyvenamajame kvartale, Kooperacijos g.,  Tilžės g., Sendvario ir Centro gyvenamuosiuose rajonuose, Jūrininkų pr., Bangų g., Joniškės g. </t>
  </si>
  <si>
    <t xml:space="preserve">2021-03-31 pasirašyta finansavimo administravimo sutartis. Projektą sudaro dvi veiklos: 1. 3 senamiesčio gatvių Žvejų g. ,Vežėjų g., Daržų g. šaligatvių atnaujinimas - 2021 m. vyko rangos darbai; 2. 10 vnt. viešojo transporto stotelių įrengimas - per 2021 m. įrengtos 7 stotelės.
</t>
  </si>
  <si>
    <t>Projektas įgyvendintas. Statybos darbų užbaigimo aktas gautas 2021-08-10.</t>
  </si>
  <si>
    <t xml:space="preserve">2021 m. buvo rengiamas techninis projektas, baigti planuojama 2022 m. </t>
  </si>
  <si>
    <t>2020-11-30 pasirašyta sutartis  su galimybių studijos rengėju MB „Kūrybinės inovacijos“. Studija parengta 2021m. Pasiūlyti galimi vystymosi scenarijai ir pristatyti visuomenei.</t>
  </si>
  <si>
    <t xml:space="preserve">Finansavimo sutartis su CPVA pasirašyta 2020 m. sausio 10 d. Atlikta rekonstrukcijos darbų senajame pastate: išmūrytos pertvaros, tiesiami inžineriniai tinklai, sumontuotas šilumos punktas, tęsiami apdailos darbai, suformuota 2a. anga; Apšiltintas ir nutinkuotas bokšto fasadas; sumontuotas bokšto laikrodis ir Teatro logotipas. Tęsiami rekonstrukcijos darbai naujajame priestate: suformuotos -2 ir -1 aukšto patalpos, pastatytos 1 a. ir 2 a. sienos, suformuota didžioji salė, scena, mžoji salė, bei 4 a. patalpos, atlikti stogo konstrukcijų darbai, padengtos didžiosios santvaros virš žiūrovų salės. </t>
  </si>
  <si>
    <t>2020 m. gruodžio 7 d. pasirašyta finansavimo administravimo sutartis. 2021-06-02 pasirašyta rangos darbų sutartis.  Darbai vykdomi tik Sukilėlių g. (atsižvelgiant į tai, kad rekonstrukcijos darbai vyksta kartu su archeologiniais tiriamaisiais darbais, taip pat į tai, kad Teatro g. esančioms lauko kavinėms leidimai veiklai vykdyti buvo išduoti iki spalio 31 d.), atlikta 45 proc. Sukilėlių g. rangos darbų.</t>
  </si>
  <si>
    <t>2020 m. atlikta 100 proc. modernizavimo darbų, įsigyti baldai. 2021 m. įsigyta kompiuterinė įranga. Kreiptasi į CPVA dėl sutaupytų lėšų panaudojimo kitoms priemonėms įsigyti.</t>
  </si>
  <si>
    <t>2021 m. Neringos, Skuodo bei Kretingos savivaldybėse projekto darbai užbaigti. Klaipėdos mieste 2021  iš 268 numatytų pusiau požeminių konteinerių aikštelių yra įrengtos 124. Šiuo metu Klaipėdoje jau galima naudotis 52 pusiau požeminėmis ir 10 požeminių konteinerių aikštelėmis.</t>
  </si>
  <si>
    <t xml:space="preserve">Projektas įgyvendintas. Statybos darbų užbaigimo aktas gautas 2021-07-07. 
</t>
  </si>
  <si>
    <t xml:space="preserve"> Rangos darbai baigti 2019 m.. Projektas baigtas 2020 m.</t>
  </si>
  <si>
    <t xml:space="preserve">Rangos darbai baigti 2021 m.  </t>
  </si>
  <si>
    <t xml:space="preserve">Pagal projektą be gatvių valymo technikos įsigijimo buvo vykdomos dar dvi veiklos - visuomenės informavimo kampanija  ir aplinkos oro kokybės valdymo priemonių plano parengimas. Projektas baigtas 2021 m.   </t>
  </si>
  <si>
    <t xml:space="preserve">Iki 2021-12-31  įgyvendintos veiklos 100 proc. Modernizuoti nakvynės namai, atlikus pirmo aukšto patalpų kapitalinio remonto darbus. Patalpos pritaikytos žmonėms su negalia, įrengtas keltuvas, įsigyti baldai ir įranga. </t>
  </si>
  <si>
    <t>Informacija gauta iš Klaipėdos miesto savivaldybės administracijos Statinių administravimo skyriaus. Per 2021 m. renovuoti 5 daugiabučiai namai.</t>
  </si>
  <si>
    <t>Projektas įgyvendintas 2020 m. Projekto baigimo data 2020-07-16.</t>
  </si>
  <si>
    <t>2021 m. įgyvendintas projektas Nr. 1.1.14. Šilutės plento ruožo nuo Tilžės g. iki geležinkelio pervažos (iki Kauno g.) rekonstrukcija</t>
  </si>
  <si>
    <t>2020 m. įgyvendintas projektas Nr. 1.1.5. Bastionų komplekso (Jono kalnelio) ir jo prieigų sutvarkymas, sukuriant išskirtinį kultūros ir turizmo traukos centrą bei skatinant smulkųjį ir vidutinį verslą. 2021 m. įgyvendintas projektas: Nr. 1.1.6. Viešosios erdvės prie buvusio „Vaidilos“ kino teatro konversija.</t>
  </si>
  <si>
    <t>2021 m. parengta galimybių studija projektui Nr. 1.1.11 Buvusios AB „Klaipėdos energija“ teritorijos dalies  konversija, sudarant sąlygas vystyti komercines, rekreacines veiklas.</t>
  </si>
  <si>
    <t>2021 m. įgyvendintas projektas 1.2.1. Tilžės g. nuo Šilutės pl. iki geležinkelio pervažos rekonstrukcija, pertvarkant žiedinę Mokyklos g. ir Šilutės pl. sankryžą.</t>
  </si>
  <si>
    <t>2021 m. baigtas projektas Nr. 1.2.4. Oro taršos kietosiomis dalelėmis mažinimas, atnaujinant gatvių priežiūros ir valymo technologijas.</t>
  </si>
  <si>
    <t xml:space="preserve">2020 m. įgyvendintas projektas Nr. 1.2.2 . Dviračių ir pėsčiųjų tako nuo Paryžiaus Komunos g. iki Jono kalnelio tiltelio įrengimas. </t>
  </si>
  <si>
    <t>2021 m. įgyvendinti projektai: Nr. 1.3.1. Ąžuolyno giraitės sutvarkymas, gerinant gamtinę aplinką ir skatinant aktyvų laisvalaikį bei lankytojų srautus ir  Nr. 1.3.5. Futbolo mokyklos ir baseino pastato konversija (II etapas (įkuriant daugiafunkcį paslaugų kompleksą, skirtą įvairių amžiaus grupių kvartalo gyventojams ir sporto bendruomenei (Paryžiaus Komunos g. 16 A))</t>
  </si>
  <si>
    <t>2018 m. įgyvendintas projektas Nr. 1.3.3. Klaipėdos daugiafunkcio sveikatingumo centro statyba. 2021 m. įgyvendintas projektai Nr. 1.3.4. Futbolo mokyklos ir baseino pastato konversija (I etapas (įkuriant daugiafunkcį paslaugų kompleksą, skirtą įvairių amžiaus grupių kvartalo gyventojams ir sporto bendruomenei ir Nr.1.3.5. Futbolo mokyklos ir baseino pastato konversija (II etapas (įkuriant daugiafunkcį paslaugų kompleksą, skirtą įvairių amžiaus grupių kvartalo gyventojams ir sporto bendruomenei (Paryžiaus Komunos g. 16 A)).</t>
  </si>
  <si>
    <t xml:space="preserve">Nagrinėjamoje teritorijoje veikia Klaipėdos miesto savivaldybės Imanuelio Kanto viešosios bibliotekos Jaunimo skyrius (Tilžės g. 9),  vaikų filialas „Pelėdžiukas“ (2020 m. persikėlė į naujas patalpas, adresu Kauno g. 49), „Kauno atžalyno“ filialas (Kauno g. 49). Taip pat teritorijoje įsikūręs Klaipėdos muzikinis teatras, Laikrodžių muziejus,  Kultūros fabrikas, Žvejų rūmai.
Tikslinėje teritorijoje  veikia 20 švietimo įstaigų: 9 lopšeliai-darželiai („Žiogelis“ (2013–2014 mokslo metais (lankė 147 vaikai, 2020-2021 m.m. - 203), „Klevelis“ (2013–2014 mokslo metais lankė 227 vaikai, 2020-2021 m. m. - 199), „Pingviniukas“ (2013–2014 mokslo metais lankė 116 vaikų, 2020-2021 m.m. -104), „Kregždutė“ (2013–2014 mokslo metais lankė 117 vaikų, 2019-2020 m.m. - 110), „Vėrinėlis“ (2013–2014 mokslo metais lankė 109 vaikai, 2020-2021 m. m. - 115) „Radastėlė“ (2013–2014 mokslo metais lankė 105 vaikai, 2020-2021 m. - 170), Inkarėlis“ (2013–2014 mokslo metais lankė 74 vaikai, 2020-2021 m.m. - 185), „Šaltinėlis“ (2013–2014 mokslo metais lankė 86 vaikai, 2020-2021 m. m. -320), „Puriena“ (2013–2014 mokslo metais lankė 194 vaikai, 2020-2021 m. m. -351) ), 1 mokykla-darželis („Saulutė“ (2013–2014 mokslo metais lankė 95 vaikai, 2020-2021 m. m. -218)), 3 gimnazijos („Ąžuolyno“ (2013–2014 mokslo metais lankė 860 mokinių, 2020-2021 m. m.-592 ) ir „Aitvaro“ (2013–2014 mokslo metais lankė 402 mokiniai, 2020-2021 m. m. -412), Vydūno (2013–2014 mokslo metais lankė 592 mokinių, 2020-2021 m. m.- 889)), 3 progimnazijos („Gabijos“ (2013–2014 mokslo metais lankė 332 mokiniai, 2020-2021 m. m. -466),  „Sendvario“ (2013–2014 mokslo metais lankė 402 mokiniai, 2020-2021 m. m. -771, „Saulėtekio“ (2013–2014 mokslo metais lankė 301 mokinys, 2020-2021 m. m. -397)), Gilijos pradinė mokykla (2013–2014 mokslo metais lankė 563 mokinių, 2020-2021 m. m.-576),  Adomo Brako dailės mokykla (2013–2014 mokslo metais lankė 323 mokiniai, 2020-2021 m. m. -420), Klaipėdos karalienės Luizės jaunimo centras, 2019 m. šioje teritorijoje duris atvėrė Klaipėdos jūrų kadetų mokykla (2020–2021 mokslo metais lankė 240 mokiniai).
</t>
  </si>
  <si>
    <t xml:space="preserve">Oro tarša kietosiomis dalelėmis yra Lietuvos miestų oro kokybės problema. Didelis taršos šaltinis kietosiomis dalelėmis yra ir motorinis transportas, kai tarša keliama dylant stabdžių kaladėlėms ir kelių dangai, ypač kai naudojamos dygliuotos padangos šaltuoju metų laiku. Taip pat teršiama aplinka įsivyravus sausiems orams, o ypač daug kietųjų dalelių į orą patenka nuo tinkamai nenuvalytų gatvių. Tikslinė teritorija yra tarp arterinių miesto gatvių, kur transporto srautai ypač dideli.
Svarbu išvystyti dviračių takų, susisiekimo viešuoju transportu infrastruktūrą bei maršrutus, propaguoti naudojimąsi ne individualiu automobiliu, o viešuoju transportu, pėsčiomis, dviračiu. Tokiu atveju mažėtų oro tarša. Analizuojant ilgesnio periodo (2015–2019 m.) kietųjų dalelių KD10 duomenis pastebima, kad Klaipėdoje Šilutės pl. oro kokybės tyrimų stotyje šio teršalo koncentracija aplinkos ore didėja, o Klaipėdos centre ryškėja priešinga –  mažėjimo tendencija. Aplinkos taršos mažinimui didelės įtakos turės 2017-2020 m. įrengti nuotekų valymo įrenginiai Mokyklos g., Trinyčių gyvenamajame kvartale, Kooperacijos g., Tilžės g., vyksta įrengimo darbai Sendvario ir Centro gyvenamuosiuose rajonuose. Paviršinių nuotekų valymas užtikrins, kad į gruntą ir/ar paviršinius vandens telkinius pateks valytos paviršinės nuotekos.
Teritorijos viešosiose erdvėse ir parkuose baigiami (-ti) vykdyti  teritorijų sutvarkymo, atnaujinimo darbai. Didžioji dalis teritorijoje esančių visuomeninės paskirties pastatų lieka nemodernizuoti dėl lėšų trūkumo. 2020 m. baigtas l.-d. „Klevelis“ kapitalinis remontas, parengti energetiniai auditai  m.-d. „Saulutė“, l.-d. „Vėrinėlis“, l.-d. „Pingvinukas“, l.-d. „Putinėlis“, l.-d. „Kregždutė“, l.-d. „Radastėlė“, l.-d. „Boružėlė“. M.-d. „Saulutė“ ir l.-d. „Vėrinėlis“ parengti techniniai projektai.                                                                                                                                                                                                                                                                     Gyvenamųjų namų statybos metų vidurkis – 1960 m. (neskaičiuojant senamiesčio dalies).Vyksta gyvenamosios paskirties pastatų renovacijos darbai, už ES lėšas tvarkomos trijų gyvenamųjų namų kvartalų kiemų teritorijos. </t>
  </si>
  <si>
    <t>Lietuvoje susidariusi amžiaus struktūra (demografinės senatvės koeficientas Lietuvoje 2014 m. siekė 126,5 (2020 m.-130, 2021 m.-132) labiausiai senėjimo paveiktuose regionuose –131–189 (2021 m. pakilo iki 207)) ir gyventojų skaičiaus mažėjimas dėl užsienio migracijos (nuo 1990 m. emigravo 699 tūkst. Lietuvos gyventojų) lems tai, kad toliau didės pensinio amžiaus gyventojų dalis lyginant su darbingo amžiaus gyventojais, o mažės – vaikų ir jaunimo. Atkreiptinas dėmesys į tai, kad per pastaruosius dešimt metų Klaipėdos mieste gyventojų sumažėjo 21 proc.: 2010 m. mieste gyveno apie 181 tūkst. gyventojų, o 2021 m. apie 148,9 tūkst.  Kita ryški tendencija – mažas gimstamumas. Nuosekliai ilgėjanti vidutinė gyvenimo trukmė lemia bendrą visuomenės senėjimą. Klaipėdos miesto gyventojų vidutinis amžius per pastaruosius keliolika metų išaugo šešeriais metais (2002 m. jis sudarė 36 m., o pastaruosius šešerius – 42 m.). Demografinės senatvės koeficientas, kuris rodo, kiek pagyvenusių (65 metų ir vyresnio amžiaus) žmonių tenka šimtui vaikų iki 15 metų amžiaus, Klaipėdos mieste nuo 2002 m. išaugo beveik dvigubai. Pastaruosius keletą metų (2016–2021m.) šis rodiklis išlieka toks pat, t. y., šimtui vaikų iki 15 metų tenka 118-119 pagyvenusių asmenų.</t>
  </si>
  <si>
    <r>
      <t>Materialinės investicijos, tenkančios vienam gyventojui, Klaipėdos miesto savivaldybėje 2013 m. siekė 3041 Eur. (2019 m. - 3719 Eur). Pagal šį rodiklį 2013 - 2019 m. Klaipėdos miesto savivaldybė lenkė šalies (2013 m. - 1742 Eur, 2019 m. - 3220 Eur), Klaipėdos apskrities (2013 m.-2342 Eur, 2019 m. - 3458 Eur) bei kitų didžiųjų miestų savivaldybių rodiklius (išskyrus Vilniaus miesto savivaldybės). Svarbiausi veiksniai, nulemiantys aukštą Klaipėdos investicinį patrauklumą, palankią ekonominę aplinkai, yra Klaipėdos LEZ ir Klaipėdos uostas. Klaipėdos LEZ – pirmoji ir sėkmingiausia tokio pobūdžio teritorija Lietuvoje. Ji apima 412 ha žemės, esančios strategiškai patogioje vietoje netoli jūrų uosto (~ 3 km), oro uosto (~ 30 km), magistralių ir geležinkelio. Klaipėdos LEZ teritorijoje darbuojasi per 100 verslų ir daugiau kaip 5900 darbuotojų. Klaipėdos LEZ teritorijoje sukuriama apie 3% šalies BVP ir eksporto, investuotojų bendra metinė apyvarta viršija 1 mlrd. EUR. Didelė Klaipėdos miesto ekonominės sėkmės dalis priklauso ir nuo Klaipėdos jūsų uosto veiklos. Dėl COVID-19 pandemijos 2020 m.-2021 m. sustojo kruizinė laivyba.</t>
    </r>
    <r>
      <rPr>
        <sz val="12"/>
        <color rgb="FFFF0000"/>
        <rFont val="Times New Roman"/>
        <family val="1"/>
        <charset val="186"/>
      </rPr>
      <t xml:space="preserve"> </t>
    </r>
    <r>
      <rPr>
        <sz val="12"/>
        <rFont val="Times New Roman"/>
        <family val="1"/>
        <charset val="186"/>
      </rPr>
      <t>Krovos darbų apimtys augo iki 2020 m. (2020 m. buvo perkrauta daugiausiai krovinių per visą jūrų uosto gyvavimo laikotarpį (47,74 mln. tonų krovinių), 2021 m. krauta 45,6 mln. tonų krovinių. Bendras krovos rezultatas 2021 m. palyginti su tuo pačiu laikotarpiu 2020 m., mažesnis 4,6 proc.</t>
    </r>
  </si>
  <si>
    <t>Šilumos kainos (ct/kWh su PVM) 2013 sausio 1 d.–2016 m. sausio 1 d. Klaipėdos miesto savivaldybėje turėjo mažėjimo tendenciją (sumažėjo 22 procentais, nuo 7,21 ct/kWh iki 5,64 ct/kWh), vėliau kainos augo ir 2021 m. gruodžio 31 d. buvo 7,10 ct/kW. Energijos išteklių kainų augimas didina investicijas į energijos taupymo priemones ir atsinaujinančius energijos išteklius ir turi politinį tokių investicijų palaikymą. Tiek naftos, tiek dujų kainos nuo pat 20 a. vidurio turi augimo tendenciją (vertinant ilgesniais – 10-20 metų laikotarpiais), todėl neskiriant pakankamai dėmesio naudojamų energijos išteklių diversifikavimui ir energijos taupymui trumpalaikio energijos išteklių kainų mažėjimo laikotarpiais, ateityje neišvengiamai bus susidurta su energijos išteklių brangimo problema. Neslūgstanti įtampa tiekimo grandinėse ir brangstantys energijos ištekliai didina infliaciją Lietuvoje. Ji 2021m. lapkričio mėn. sudarė 9,3 proc. Visame pasaulyje infliacinis spaudimas kyla dėl neatslūgstančios įtampos pasaulinėse tiekimo grandinėse ir pakilusių įvairių gamybos žaliavų bei energijos išteklių kainų. Jos lemia spartų energijos, pramonės prekių ir administruojamųjų kainų (šildymo, dujų, elektros) augimą. Prognozuojama, kad įtampa tiekimo grandinėse gali išlikti  ateinančius 2022 m.</t>
  </si>
  <si>
    <r>
      <t>Dėl vidinės migracijos mieste ir migracijos į priemiestį, kinta skirtingų socialinių grupių gyventojų sklaida Klaipėdos mieste – pastebima socialiai stipresnių sluoksnių koncentracija šiaurinėje metropolio dalyje ir periferinės miesto dalies istorinėse gyvenamosiose vietovėse, o socialiai labiau pažeidžiamų grupių sluoksnių koncentracija – pietinėje metropolio dalyje.
Tikslinėje teritorijoje 2014 m. gyveno 46 šeimos (2021 m. - 102 šeima), įrašytos į socialinės rizikos šeimų, auginančių vaikus, apskaitą. 2021 m. jose augo 83 vaikai nuo 0 iki 18 metų. Pagrindinės įrašymo į apskaitą priežastys: vaikų nepriežiūra, socialinių įgūdžių stoka, alkoholio ir narkotinių medžiagų vartojimas. Specialiųjų poreikių asmenų šioje teritorijoje buvo 802, t. y. 13,5 proc. (iš viso mieste – 5920), slaugos išmoką gaunančių yra 170 (2021 m. -340)</t>
    </r>
    <r>
      <rPr>
        <sz val="12"/>
        <color rgb="FFFF0000"/>
        <rFont val="Times New Roman"/>
        <family val="1"/>
        <charset val="186"/>
      </rPr>
      <t xml:space="preserve">, </t>
    </r>
    <r>
      <rPr>
        <sz val="12"/>
        <rFont val="Times New Roman"/>
        <family val="1"/>
        <charset val="186"/>
      </rPr>
      <t>t. y. 12,0 proc.</t>
    </r>
    <r>
      <rPr>
        <sz val="12"/>
        <color rgb="FFFF0000"/>
        <rFont val="Times New Roman"/>
        <family val="1"/>
        <charset val="186"/>
      </rPr>
      <t xml:space="preserve"> </t>
    </r>
    <r>
      <rPr>
        <sz val="12"/>
        <rFont val="Times New Roman"/>
        <family val="1"/>
        <charset val="186"/>
      </rPr>
      <t>(2021 m. -17,75 proc.) nuo visų gavėjų,</t>
    </r>
    <r>
      <rPr>
        <sz val="12"/>
        <color rgb="FFFF0000"/>
        <rFont val="Times New Roman"/>
        <family val="1"/>
        <charset val="186"/>
      </rPr>
      <t xml:space="preserve"> </t>
    </r>
    <r>
      <rPr>
        <sz val="12"/>
        <rFont val="Times New Roman"/>
        <family val="1"/>
        <charset val="186"/>
      </rPr>
      <t>priežiūros išmoką gaunančių yra 394 (2021 m. -534), t. y. 15,2 proc. (2021 m. -17,67 proc.)</t>
    </r>
    <r>
      <rPr>
        <sz val="12"/>
        <color rgb="FFFF0000"/>
        <rFont val="Times New Roman"/>
        <family val="1"/>
        <charset val="186"/>
      </rPr>
      <t xml:space="preserve"> </t>
    </r>
    <r>
      <rPr>
        <sz val="12"/>
        <rFont val="Times New Roman"/>
        <family val="1"/>
        <charset val="186"/>
      </rPr>
      <t>nuo visų gavėjų, šalpos išmoką gaunančių yra 185 (2021 m. -141), t. y. 10 proc. (2021 m. - 6,2 proc.) nuo visų gavėjų,  kompensacijų už būsto šildymą ir vandenį gavėjų yra</t>
    </r>
    <r>
      <rPr>
        <sz val="12"/>
        <color rgb="FFFF0000"/>
        <rFont val="Times New Roman"/>
        <family val="1"/>
        <charset val="186"/>
      </rPr>
      <t xml:space="preserve"> </t>
    </r>
    <r>
      <rPr>
        <sz val="12"/>
        <rFont val="Times New Roman"/>
        <family val="1"/>
        <charset val="186"/>
      </rPr>
      <t>1696 (2021 m. -1353), t. y. 14,4 proc.</t>
    </r>
    <r>
      <rPr>
        <sz val="12"/>
        <color rgb="FFFF0000"/>
        <rFont val="Times New Roman"/>
        <family val="1"/>
        <charset val="186"/>
      </rPr>
      <t xml:space="preserve"> </t>
    </r>
    <r>
      <rPr>
        <sz val="12"/>
        <rFont val="Times New Roman"/>
        <family val="1"/>
        <charset val="186"/>
      </rPr>
      <t xml:space="preserve">(2021 m. - 24,9 proc.) nuo visų gavėjų.       </t>
    </r>
    <r>
      <rPr>
        <sz val="12"/>
        <color rgb="FFFF0000"/>
        <rFont val="Times New Roman"/>
        <family val="1"/>
        <charset val="186"/>
      </rPr>
      <t xml:space="preserve">              
</t>
    </r>
    <r>
      <rPr>
        <sz val="12"/>
        <rFont val="Times New Roman"/>
        <family val="1"/>
        <charset val="186"/>
      </rPr>
      <t>Tikslinėje teritorijoje 2014 m. užregistruota apie 25,6 proc. visų Klaipėdos mieste įvykdomų nusikalstamų veikų (t. y. koncentracija, tenkanti teritorijos plotui ir (ar) gyventojų skaičiui yra apie 1,5 karto didesnė už vidutinę mieste). Per laikotarpį nuo 2014 iki 2021 m. stebimas bendras nusikaltimų skaičiaus mieste mažėjimas, tačiau tikslinėje teritorijoje lygis lieka aukštas. Analizuojant pačių pavojingiausių nusikaltimų (žmogaus gyvybei ir sveikatai) statistiką, vis dar stebima prastesnė situacija Rumpiškėje, kur senesni būstai ir stebima silpnesnio socialinio sluoksnio koncentracija.</t>
    </r>
  </si>
  <si>
    <r>
      <t>Teritorijoje yra konversijai tinkamų plotų. Atlikti Futbolo mokyklos ir baseino pastato teritorijos ir  pastato konversijos darbai, Senojo turgaus (rengiamas turgaus teritorijos sutvarkymo techninis projektas) ir 2-osios vandenvietės teritorijos (šioje teritorijoje planuojama statyti sporto ir laisvalaikio kompleksą, statybą ir komplekso valdymą perduodant pagal koncesijos sutartį,</t>
    </r>
    <r>
      <rPr>
        <sz val="12"/>
        <color rgb="FFFF0000"/>
        <rFont val="Times New Roman"/>
        <family val="1"/>
        <charset val="186"/>
      </rPr>
      <t xml:space="preserve"> </t>
    </r>
    <r>
      <rPr>
        <sz val="12"/>
        <rFont val="Times New Roman"/>
        <family val="1"/>
        <charset val="186"/>
      </rPr>
      <t>vyksta konsesininko parinkimo procedūros). Atnaujintos teritorijoje esančios viešosioso erdvės: skveras prieš buvusį „Vaidilos“ kino teatrą, pėsčiųjų takas palei Taikos per. nuo Sausio 15-osios g. iki Kauno g.</t>
    </r>
  </si>
  <si>
    <t xml:space="preserve">2021 m. buvo pradėtas rengti techninis projektas, pritarta projektiniams pasiūlymams. Pradėta projekto viešinimo procedūra, planuojama baigti 2022 m. </t>
  </si>
  <si>
    <t xml:space="preserve">Gautas valstybei svarbaus projekto statusas. Mero potvarkiu sudaryta  šv. Jono bažnyčios su bokštu Klaipėdoje atkūrimo procesui organizuoti darbo grupė (klausimų dėl galimo bažnyčios fondo valdymo modelio, dėl komunikacijos koncepcijos parengimo, dėl  parengiamųjų darbų (archeologijos, tyrimų ir kt.) finansavimo sprendimų)). 2020 m. pradėti vykdyti Šv. Jono bažnyčios archeologiniai tyrimai. 2021 m. pasirašyta sutartis dėl techninio projekto bokšto atkūrimui parengimo.
</t>
  </si>
  <si>
    <t>Rangos darbai baigti.Įsigyti baldai, garso ir apšvietimo įranga, įrengtos vaizdo kameros.</t>
  </si>
  <si>
    <t>n.d.</t>
  </si>
  <si>
    <t xml:space="preserve">Projekto rangos dabai baigti 2021 m. </t>
  </si>
  <si>
    <r>
      <t>Projekto rangos darbai baigti 2020 m.</t>
    </r>
    <r>
      <rPr>
        <sz val="9"/>
        <rFont val="Times New Roman"/>
        <family val="1"/>
        <charset val="186"/>
      </rPr>
      <t xml:space="preserve"> Galutinis mokėjimo prašymas pateiktas 2020-12-23, todėl apmokėjimas persikėlė į 2021 metus</t>
    </r>
    <r>
      <rPr>
        <sz val="9"/>
        <color theme="1"/>
        <rFont val="Times New Roman"/>
        <family val="1"/>
      </rPr>
      <t>.</t>
    </r>
  </si>
  <si>
    <t>2021 m. spalio 19 d. pasirašyta sutartis (teritorijos vystytojų užsakymu) Bastionų gatvės tiesimo tarp Danės g. ir Bangų g. Klaipėdos mieste galimybių studijai parengti, kurioje bus pateikti pasiūlymai dėl naujo tilto.</t>
  </si>
  <si>
    <t>Gyventojų surašymas vyko 2021 m. pabaigoje, detali statistika pagal miesto teritorijas dar neskelbiama.</t>
  </si>
  <si>
    <t>Didžioji dalis projektų, kurie įtakos naujų įmonių įsikūrimą, pradėti įgyvendinti 2019-2021 m. Kadangi projektai ką tik baigti ar dar nebaigti, sąlygos kurtis sutvarkytose teritorijose naujam smulkiam ir vidutiniam verslui buvo nepilnavertės. Didelės neigiamos įtakos SVV kūrimuisi ir gyvavimui turėjo Covid -19 pandemija ir įvesti suvaržymai šalies ir pasaulio mastu. Mieste veikiančių mažų ir vidutinių įmonių skaičius 2021 m. padidėjo ir sudarė 5 545 (2019 m. -5421, 2020 m. -5526). 2019 m. tikslinėje teritorijoje veikė 2016 verslo subjektų, 2020 m. -2071.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</si>
</sst>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
  </numFmts>
  <fonts count="32"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0"/>
      <name val="Arial"/>
      <family val="2"/>
      <charset val="186"/>
    </font>
    <font>
      <i/>
      <sz val="9"/>
      <name val="Times New Roman"/>
      <family val="1"/>
    </font>
    <font>
      <sz val="12"/>
      <color theme="1"/>
      <name val="Times New Roman"/>
      <family val="1"/>
    </font>
    <font>
      <i/>
      <sz val="11"/>
      <color theme="1"/>
      <name val="Calibri"/>
      <family val="2"/>
      <scheme val="minor"/>
    </font>
    <font>
      <b/>
      <sz val="9"/>
      <name val="Times New Roman"/>
      <family val="1"/>
    </font>
    <font>
      <b/>
      <sz val="9"/>
      <color theme="1"/>
      <name val="Times New Roman"/>
      <family val="1"/>
    </font>
    <font>
      <sz val="9"/>
      <name val="Times New Roman"/>
      <family val="1"/>
    </font>
    <font>
      <sz val="9"/>
      <color theme="1"/>
      <name val="Times New Roman"/>
      <family val="1"/>
    </font>
    <font>
      <i/>
      <sz val="9"/>
      <color theme="1"/>
      <name val="Times New Roman"/>
      <family val="1"/>
    </font>
    <font>
      <i/>
      <sz val="9"/>
      <color rgb="FFFF0000"/>
      <name val="Times New Roman"/>
      <family val="1"/>
      <charset val="186"/>
    </font>
    <font>
      <i/>
      <sz val="12"/>
      <color theme="1"/>
      <name val="Times New Roman"/>
      <family val="1"/>
      <charset val="186"/>
    </font>
    <font>
      <b/>
      <i/>
      <sz val="9"/>
      <name val="Times New Roman"/>
      <family val="1"/>
      <charset val="186"/>
    </font>
    <font>
      <sz val="9"/>
      <name val="Times New Roman"/>
      <family val="1"/>
      <charset val="186"/>
    </font>
    <font>
      <vertAlign val="superscript"/>
      <sz val="9"/>
      <name val="Times New Roman"/>
      <family val="1"/>
      <charset val="186"/>
    </font>
    <font>
      <sz val="9"/>
      <color theme="1"/>
      <name val="Times New Roman"/>
      <family val="1"/>
      <charset val="186"/>
    </font>
    <font>
      <sz val="10"/>
      <color rgb="FF000000"/>
      <name val="Times New Roman"/>
      <family val="1"/>
      <charset val="186"/>
    </font>
    <font>
      <b/>
      <sz val="9"/>
      <color theme="1"/>
      <name val="Times New Roman"/>
      <family val="1"/>
      <charset val="186"/>
    </font>
    <font>
      <b/>
      <i/>
      <sz val="10"/>
      <name val="Times New Roman"/>
      <family val="1"/>
      <charset val="186"/>
    </font>
    <font>
      <b/>
      <sz val="10"/>
      <name val="Times New Roman"/>
      <family val="1"/>
      <charset val="186"/>
    </font>
    <font>
      <b/>
      <sz val="9"/>
      <name val="Times New Roman"/>
      <family val="1"/>
      <charset val="186"/>
    </font>
    <font>
      <b/>
      <sz val="10"/>
      <color rgb="FF000000"/>
      <name val="Times New Roman"/>
      <family val="1"/>
      <charset val="186"/>
    </font>
    <font>
      <b/>
      <sz val="11"/>
      <name val="Times New Roman"/>
      <family val="1"/>
      <charset val="186"/>
    </font>
    <font>
      <sz val="10"/>
      <name val="Times New Roman"/>
      <family val="1"/>
    </font>
    <font>
      <sz val="10"/>
      <color rgb="FF333333"/>
      <name val="Times New Roman"/>
      <family val="1"/>
      <charset val="186"/>
    </font>
    <font>
      <sz val="12"/>
      <color rgb="FFFF0000"/>
      <name val="Times New Roman"/>
      <family val="1"/>
      <charset val="186"/>
    </font>
    <font>
      <sz val="10"/>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88">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Border="1" applyAlignment="1">
      <alignment horizontal="center" vertical="center"/>
    </xf>
    <xf numFmtId="0" fontId="4" fillId="0" borderId="0" xfId="0" applyFont="1" applyAlignment="1"/>
    <xf numFmtId="0" fontId="9" fillId="0" borderId="0"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 xfId="1" applyFont="1" applyFill="1" applyBorder="1" applyAlignment="1">
      <alignment horizontal="center" vertical="center" wrapText="1"/>
    </xf>
    <xf numFmtId="0" fontId="10" fillId="0" borderId="2" xfId="0" applyFont="1" applyBorder="1" applyAlignment="1">
      <alignment vertical="center" wrapText="1"/>
    </xf>
    <xf numFmtId="0" fontId="12" fillId="0" borderId="2" xfId="0" applyFont="1" applyFill="1" applyBorder="1" applyAlignment="1">
      <alignment vertical="center" wrapText="1"/>
    </xf>
    <xf numFmtId="0" fontId="12" fillId="2" borderId="2" xfId="0" applyFont="1" applyFill="1" applyBorder="1" applyAlignment="1">
      <alignment vertical="center" wrapText="1"/>
    </xf>
    <xf numFmtId="0" fontId="10" fillId="2" borderId="2" xfId="0" applyFont="1" applyFill="1" applyBorder="1" applyAlignment="1">
      <alignment vertical="center" wrapText="1"/>
    </xf>
    <xf numFmtId="0" fontId="12" fillId="3" borderId="2" xfId="0" applyFont="1" applyFill="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vertical="top" wrapText="1"/>
    </xf>
    <xf numFmtId="0" fontId="13" fillId="3" borderId="2" xfId="0" applyFont="1" applyFill="1" applyBorder="1" applyAlignment="1">
      <alignment vertical="top" wrapText="1"/>
    </xf>
    <xf numFmtId="0" fontId="1" fillId="0" borderId="0" xfId="0" applyFont="1" applyAlignment="1">
      <alignment wrapText="1"/>
    </xf>
    <xf numFmtId="0" fontId="0" fillId="0" borderId="0" xfId="0" applyAlignment="1">
      <alignment wrapText="1"/>
    </xf>
    <xf numFmtId="0" fontId="8" fillId="0" borderId="0" xfId="0" applyFont="1" applyAlignment="1">
      <alignment horizontal="right"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8" fillId="0" borderId="2" xfId="0" applyFont="1" applyFill="1" applyBorder="1" applyAlignment="1">
      <alignment vertical="center" wrapText="1"/>
    </xf>
    <xf numFmtId="3"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 fontId="12" fillId="0" borderId="2" xfId="0" applyNumberFormat="1" applyFont="1" applyFill="1" applyBorder="1" applyAlignment="1">
      <alignment vertical="center" wrapText="1"/>
    </xf>
    <xf numFmtId="4" fontId="12"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3" fontId="13" fillId="0" borderId="2" xfId="0" applyNumberFormat="1" applyFont="1" applyBorder="1" applyAlignment="1">
      <alignment horizontal="center" vertical="center" wrapText="1"/>
    </xf>
    <xf numFmtId="4" fontId="13" fillId="0" borderId="2" xfId="0" applyNumberFormat="1" applyFont="1" applyBorder="1" applyAlignment="1">
      <alignment horizontal="center" vertical="center" wrapText="1"/>
    </xf>
    <xf numFmtId="0" fontId="22" fillId="0" borderId="2" xfId="0" applyFont="1" applyBorder="1" applyAlignment="1">
      <alignment vertical="top" wrapText="1"/>
    </xf>
    <xf numFmtId="0" fontId="10"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 fontId="13" fillId="0" borderId="2" xfId="0" applyNumberFormat="1" applyFont="1" applyBorder="1" applyAlignment="1">
      <alignment horizontal="center" vertical="center" wrapText="1"/>
    </xf>
    <xf numFmtId="1" fontId="12" fillId="2"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165" fontId="13" fillId="0" borderId="2" xfId="0" applyNumberFormat="1" applyFont="1" applyBorder="1" applyAlignment="1">
      <alignment horizontal="center" vertical="center" wrapText="1"/>
    </xf>
    <xf numFmtId="165" fontId="12" fillId="2" borderId="2" xfId="0" applyNumberFormat="1" applyFont="1" applyFill="1" applyBorder="1" applyAlignment="1">
      <alignment vertical="center" wrapText="1"/>
    </xf>
    <xf numFmtId="164" fontId="12" fillId="0" borderId="2" xfId="0" applyNumberFormat="1" applyFont="1" applyFill="1" applyBorder="1" applyAlignment="1">
      <alignment horizontal="center" vertical="center" wrapText="1"/>
    </xf>
    <xf numFmtId="4" fontId="21" fillId="0" borderId="0" xfId="0" applyNumberFormat="1" applyFont="1" applyAlignment="1">
      <alignment horizontal="center" vertical="center"/>
    </xf>
    <xf numFmtId="166" fontId="12" fillId="0" borderId="2" xfId="0" applyNumberFormat="1" applyFont="1" applyFill="1" applyBorder="1" applyAlignment="1">
      <alignment horizontal="center" vertical="center" wrapText="1"/>
    </xf>
    <xf numFmtId="0" fontId="20" fillId="0" borderId="0" xfId="0" applyFont="1" applyAlignment="1">
      <alignment horizontal="center" vertical="center"/>
    </xf>
    <xf numFmtId="0" fontId="12" fillId="0" borderId="2" xfId="0" applyFont="1" applyBorder="1" applyAlignment="1">
      <alignment horizontal="center" vertical="center" wrapText="1"/>
    </xf>
    <xf numFmtId="166" fontId="13" fillId="0" borderId="2" xfId="0" applyNumberFormat="1" applyFont="1" applyBorder="1" applyAlignment="1">
      <alignment horizontal="center" vertical="center" wrapText="1"/>
    </xf>
    <xf numFmtId="166" fontId="12" fillId="2"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2" fillId="0" borderId="2" xfId="0" applyNumberFormat="1" applyFont="1" applyBorder="1" applyAlignment="1">
      <alignment horizontal="center" vertical="center" wrapText="1"/>
    </xf>
    <xf numFmtId="0" fontId="17" fillId="0" borderId="2" xfId="0" applyFont="1" applyBorder="1" applyAlignment="1">
      <alignment vertical="center" wrapText="1"/>
    </xf>
    <xf numFmtId="0" fontId="12" fillId="0" borderId="2" xfId="0" applyFont="1" applyFill="1" applyBorder="1" applyAlignment="1">
      <alignment horizontal="left" vertical="top" wrapText="1"/>
    </xf>
    <xf numFmtId="0" fontId="18" fillId="0" borderId="2" xfId="0" applyFont="1" applyBorder="1" applyAlignment="1">
      <alignment vertical="center" wrapText="1"/>
    </xf>
    <xf numFmtId="0" fontId="20" fillId="0" borderId="2" xfId="0" applyFont="1" applyBorder="1" applyAlignment="1">
      <alignment vertical="top" wrapText="1"/>
    </xf>
    <xf numFmtId="0" fontId="18" fillId="4" borderId="2" xfId="0" applyFont="1" applyFill="1" applyBorder="1" applyAlignment="1">
      <alignment vertical="center" wrapText="1"/>
    </xf>
    <xf numFmtId="0" fontId="20" fillId="4" borderId="2" xfId="0" applyFont="1" applyFill="1" applyBorder="1" applyAlignment="1">
      <alignment vertical="top" wrapText="1"/>
    </xf>
    <xf numFmtId="0" fontId="20" fillId="0" borderId="2" xfId="0" applyFont="1" applyBorder="1" applyAlignment="1">
      <alignment horizontal="left" vertical="center" wrapText="1"/>
    </xf>
    <xf numFmtId="0" fontId="23" fillId="0" borderId="2" xfId="0" applyFont="1" applyBorder="1" applyAlignment="1">
      <alignment vertical="center" wrapText="1"/>
    </xf>
    <xf numFmtId="4" fontId="24" fillId="0" borderId="2"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0" fontId="12" fillId="0" borderId="2" xfId="0" applyFont="1" applyFill="1" applyBorder="1" applyAlignment="1">
      <alignment horizontal="left" vertical="center" wrapText="1"/>
    </xf>
    <xf numFmtId="0" fontId="18" fillId="3" borderId="2" xfId="0" applyFont="1" applyFill="1" applyBorder="1" applyAlignment="1">
      <alignment vertical="center" wrapText="1"/>
    </xf>
    <xf numFmtId="0" fontId="20" fillId="3" borderId="2" xfId="0" applyFont="1" applyFill="1" applyBorder="1" applyAlignment="1">
      <alignment horizontal="left" vertical="center" wrapText="1"/>
    </xf>
    <xf numFmtId="4" fontId="24" fillId="5" borderId="2"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xf>
    <xf numFmtId="0" fontId="13" fillId="5" borderId="2" xfId="0" applyFont="1" applyFill="1" applyBorder="1" applyAlignment="1">
      <alignment vertical="top" wrapText="1"/>
    </xf>
    <xf numFmtId="0" fontId="13" fillId="6" borderId="2" xfId="0" applyFont="1" applyFill="1" applyBorder="1" applyAlignment="1">
      <alignment vertical="center" wrapText="1"/>
    </xf>
    <xf numFmtId="4" fontId="27" fillId="6" borderId="2" xfId="0" applyNumberFormat="1" applyFont="1" applyFill="1" applyBorder="1" applyAlignment="1">
      <alignment vertical="center" wrapText="1"/>
    </xf>
    <xf numFmtId="4" fontId="27" fillId="6" borderId="2" xfId="0" applyNumberFormat="1" applyFont="1" applyFill="1" applyBorder="1" applyAlignment="1">
      <alignment horizontal="center" vertical="center" wrapText="1"/>
    </xf>
    <xf numFmtId="0" fontId="0" fillId="3" borderId="0" xfId="0" applyFill="1"/>
    <xf numFmtId="4" fontId="12"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4" fontId="20" fillId="3" borderId="0" xfId="0" applyNumberFormat="1" applyFont="1" applyFill="1" applyAlignment="1">
      <alignment horizontal="center" vertical="center"/>
    </xf>
    <xf numFmtId="0" fontId="12" fillId="3" borderId="2" xfId="0" applyFont="1" applyFill="1" applyBorder="1" applyAlignment="1">
      <alignment horizontal="center" vertical="center" wrapText="1"/>
    </xf>
    <xf numFmtId="0" fontId="20" fillId="4" borderId="0" xfId="0" applyFont="1" applyFill="1" applyAlignment="1">
      <alignment vertical="top" wrapText="1"/>
    </xf>
    <xf numFmtId="0" fontId="13"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4" fontId="12" fillId="0" borderId="2" xfId="0" applyNumberFormat="1" applyFont="1" applyBorder="1" applyAlignment="1">
      <alignment horizontal="center" vertical="center" wrapText="1"/>
    </xf>
    <xf numFmtId="0" fontId="12"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2" fillId="3" borderId="2" xfId="0" applyNumberFormat="1" applyFont="1" applyFill="1" applyBorder="1" applyAlignment="1">
      <alignment horizontal="center" vertical="center" wrapText="1"/>
    </xf>
    <xf numFmtId="166" fontId="12" fillId="3" borderId="2" xfId="0" applyNumberFormat="1" applyFont="1" applyFill="1" applyBorder="1" applyAlignment="1">
      <alignment horizontal="center" vertical="center" wrapText="1"/>
    </xf>
    <xf numFmtId="4" fontId="13" fillId="3" borderId="2" xfId="0" applyNumberFormat="1" applyFont="1" applyFill="1" applyBorder="1" applyAlignment="1">
      <alignment horizontal="center" vertical="center" wrapText="1"/>
    </xf>
    <xf numFmtId="4" fontId="25" fillId="3" borderId="2" xfId="0" applyNumberFormat="1" applyFont="1" applyFill="1" applyBorder="1" applyAlignment="1">
      <alignment horizontal="center" vertical="center" wrapText="1"/>
    </xf>
    <xf numFmtId="4" fontId="18" fillId="3" borderId="2" xfId="0" applyNumberFormat="1" applyFont="1" applyFill="1" applyBorder="1" applyAlignment="1">
      <alignment horizontal="center" vertical="center" wrapText="1"/>
    </xf>
    <xf numFmtId="0" fontId="13" fillId="3" borderId="2" xfId="0" applyFont="1" applyFill="1" applyBorder="1" applyAlignment="1">
      <alignment horizontal="left" vertical="top" wrapText="1"/>
    </xf>
    <xf numFmtId="3" fontId="25" fillId="3" borderId="2" xfId="0" applyNumberFormat="1" applyFont="1" applyFill="1" applyBorder="1" applyAlignment="1">
      <alignment horizontal="center" vertical="center" wrapText="1"/>
    </xf>
    <xf numFmtId="4" fontId="12" fillId="3" borderId="0" xfId="0" applyNumberFormat="1" applyFont="1" applyFill="1" applyAlignment="1">
      <alignment horizontal="center" vertical="center"/>
    </xf>
    <xf numFmtId="4" fontId="12" fillId="3" borderId="3" xfId="0" applyNumberFormat="1" applyFont="1" applyFill="1" applyBorder="1" applyAlignment="1">
      <alignment horizontal="center" vertical="center" wrapText="1"/>
    </xf>
    <xf numFmtId="4" fontId="28" fillId="3" borderId="2" xfId="0" applyNumberFormat="1" applyFont="1" applyFill="1" applyBorder="1" applyAlignment="1">
      <alignment horizontal="center" vertical="center"/>
    </xf>
    <xf numFmtId="4" fontId="12" fillId="3" borderId="12" xfId="0" applyNumberFormat="1" applyFont="1" applyFill="1" applyBorder="1" applyAlignment="1">
      <alignment horizontal="center" vertical="center" wrapText="1"/>
    </xf>
    <xf numFmtId="4" fontId="18" fillId="3" borderId="0" xfId="0" applyNumberFormat="1" applyFont="1" applyFill="1" applyAlignment="1">
      <alignment horizontal="center" vertical="center"/>
    </xf>
    <xf numFmtId="4" fontId="18" fillId="3" borderId="2" xfId="0" applyNumberFormat="1" applyFont="1" applyFill="1" applyBorder="1" applyAlignment="1">
      <alignment horizontal="center" vertical="center"/>
    </xf>
    <xf numFmtId="0" fontId="18" fillId="3" borderId="2" xfId="0" applyFont="1" applyFill="1" applyBorder="1" applyAlignment="1">
      <alignment vertical="top" wrapText="1"/>
    </xf>
    <xf numFmtId="4" fontId="20" fillId="3" borderId="2" xfId="0" applyNumberFormat="1" applyFont="1" applyFill="1" applyBorder="1" applyAlignment="1">
      <alignment horizontal="center" vertical="center"/>
    </xf>
    <xf numFmtId="4" fontId="21" fillId="3" borderId="0" xfId="0" applyNumberFormat="1" applyFont="1" applyFill="1" applyAlignment="1">
      <alignment horizontal="center" vertical="center"/>
    </xf>
    <xf numFmtId="4" fontId="29" fillId="3" borderId="2" xfId="0" applyNumberFormat="1" applyFont="1" applyFill="1" applyBorder="1" applyAlignment="1">
      <alignment horizontal="center" vertical="center"/>
    </xf>
    <xf numFmtId="4" fontId="21" fillId="3" borderId="2" xfId="0" applyNumberFormat="1" applyFont="1" applyFill="1" applyBorder="1" applyAlignment="1">
      <alignment horizontal="center" vertical="center"/>
    </xf>
    <xf numFmtId="4" fontId="13" fillId="3" borderId="2" xfId="0" applyNumberFormat="1" applyFont="1" applyFill="1" applyBorder="1" applyAlignment="1">
      <alignment vertical="top" wrapText="1"/>
    </xf>
    <xf numFmtId="0" fontId="9" fillId="3" borderId="0" xfId="0" applyFont="1" applyFill="1" applyBorder="1" applyAlignment="1">
      <alignment horizontal="left" vertical="top" wrapText="1"/>
    </xf>
    <xf numFmtId="0" fontId="0" fillId="3" borderId="0" xfId="0" applyFill="1" applyAlignment="1">
      <alignment wrapText="1"/>
    </xf>
    <xf numFmtId="4" fontId="0" fillId="3" borderId="0" xfId="0" applyNumberFormat="1" applyFill="1"/>
    <xf numFmtId="0" fontId="10" fillId="0" borderId="3" xfId="0" applyFont="1" applyFill="1" applyBorder="1" applyAlignment="1">
      <alignment horizontal="right" vertical="center" wrapText="1"/>
    </xf>
    <xf numFmtId="0" fontId="0" fillId="0" borderId="4" xfId="0" applyBorder="1" applyAlignment="1">
      <alignment horizontal="right" wrapText="1"/>
    </xf>
    <xf numFmtId="0" fontId="0" fillId="0" borderId="8" xfId="0" applyBorder="1" applyAlignment="1">
      <alignment horizontal="right" wrapText="1"/>
    </xf>
    <xf numFmtId="0" fontId="10" fillId="5" borderId="3" xfId="0" applyFont="1" applyFill="1" applyBorder="1" applyAlignment="1">
      <alignment horizontal="right" vertical="center" wrapText="1"/>
    </xf>
    <xf numFmtId="0" fontId="0" fillId="0" borderId="4" xfId="0" applyBorder="1" applyAlignment="1">
      <alignment vertical="center" wrapText="1"/>
    </xf>
    <xf numFmtId="0" fontId="0" fillId="0" borderId="8" xfId="0" applyBorder="1" applyAlignment="1">
      <alignment vertical="center"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8" fillId="0" borderId="2" xfId="0" applyFont="1" applyBorder="1" applyAlignment="1">
      <alignment vertical="top" wrapText="1"/>
    </xf>
    <xf numFmtId="0" fontId="10" fillId="0" borderId="1" xfId="0" applyFont="1" applyFill="1" applyBorder="1" applyAlignment="1">
      <alignment horizontal="center" vertical="center" wrapText="1"/>
    </xf>
    <xf numFmtId="0" fontId="0" fillId="0" borderId="12" xfId="0" applyBorder="1" applyAlignment="1">
      <alignment vertical="center" wrapText="1"/>
    </xf>
    <xf numFmtId="0" fontId="18" fillId="4" borderId="1" xfId="0" applyFont="1" applyFill="1" applyBorder="1" applyAlignment="1">
      <alignment vertical="center" wrapText="1"/>
    </xf>
    <xf numFmtId="0" fontId="0" fillId="4" borderId="12" xfId="0" applyFill="1" applyBorder="1" applyAlignment="1">
      <alignment wrapText="1"/>
    </xf>
    <xf numFmtId="0" fontId="13" fillId="0" borderId="1" xfId="0" applyFont="1" applyBorder="1" applyAlignment="1">
      <alignment horizontal="center" vertical="center" wrapText="1"/>
    </xf>
    <xf numFmtId="0" fontId="0" fillId="0" borderId="12" xfId="0" applyBorder="1" applyAlignment="1">
      <alignment wrapText="1"/>
    </xf>
    <xf numFmtId="0" fontId="10" fillId="0" borderId="3" xfId="1" applyFont="1" applyFill="1" applyBorder="1" applyAlignment="1">
      <alignment horizontal="center" vertical="center" wrapText="1"/>
    </xf>
    <xf numFmtId="0" fontId="13"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4" fontId="12" fillId="3" borderId="1" xfId="0" applyNumberFormat="1" applyFont="1" applyFill="1" applyBorder="1" applyAlignment="1">
      <alignment horizontal="center" vertical="center" wrapText="1"/>
    </xf>
    <xf numFmtId="0" fontId="0" fillId="3" borderId="12" xfId="0" applyFill="1" applyBorder="1" applyAlignment="1">
      <alignment vertical="center" wrapText="1"/>
    </xf>
    <xf numFmtId="0" fontId="1" fillId="3" borderId="12" xfId="0" applyFont="1" applyFill="1" applyBorder="1" applyAlignment="1">
      <alignment vertical="center" wrapText="1"/>
    </xf>
    <xf numFmtId="0" fontId="16" fillId="0" borderId="2" xfId="0" applyFont="1" applyBorder="1" applyAlignment="1">
      <alignment horizontal="left"/>
    </xf>
    <xf numFmtId="0" fontId="4" fillId="0" borderId="2" xfId="0" applyFont="1" applyBorder="1" applyAlignment="1">
      <alignment horizontal="center"/>
    </xf>
    <xf numFmtId="0" fontId="16" fillId="0" borderId="10" xfId="0" applyFont="1" applyBorder="1" applyAlignment="1">
      <alignment horizontal="left"/>
    </xf>
    <xf numFmtId="0" fontId="16" fillId="0" borderId="6" xfId="0" applyFont="1" applyBorder="1" applyAlignment="1">
      <alignment horizontal="left"/>
    </xf>
    <xf numFmtId="0" fontId="16" fillId="0" borderId="11" xfId="0" applyFont="1" applyBorder="1" applyAlignment="1">
      <alignment horizontal="left"/>
    </xf>
    <xf numFmtId="0" fontId="4" fillId="0" borderId="7" xfId="0" applyFont="1" applyBorder="1" applyAlignment="1">
      <alignment horizontal="center"/>
    </xf>
    <xf numFmtId="0" fontId="8" fillId="0" borderId="3" xfId="0" applyFont="1" applyBorder="1" applyAlignment="1">
      <alignment vertical="top"/>
    </xf>
    <xf numFmtId="0" fontId="8" fillId="0" borderId="4" xfId="0" applyFont="1" applyBorder="1" applyAlignment="1">
      <alignment vertical="top"/>
    </xf>
    <xf numFmtId="0" fontId="8" fillId="0" borderId="8" xfId="0" applyFont="1" applyBorder="1" applyAlignment="1">
      <alignment vertical="top"/>
    </xf>
    <xf numFmtId="0" fontId="2" fillId="0" borderId="7" xfId="0" applyFont="1" applyBorder="1" applyAlignment="1">
      <alignment horizontal="center" vertical="center"/>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2" fillId="0" borderId="6" xfId="0" applyFont="1" applyBorder="1" applyAlignment="1">
      <alignment horizontal="center" wrapText="1"/>
    </xf>
    <xf numFmtId="0" fontId="4" fillId="0" borderId="6" xfId="0" applyFont="1" applyBorder="1" applyAlignment="1">
      <alignment horizontal="center"/>
    </xf>
    <xf numFmtId="0" fontId="14" fillId="0" borderId="0" xfId="0" applyFont="1" applyBorder="1" applyAlignment="1">
      <alignment horizontal="left" wrapText="1"/>
    </xf>
    <xf numFmtId="0" fontId="11" fillId="0" borderId="0" xfId="0" applyFont="1" applyBorder="1" applyAlignment="1">
      <alignment horizontal="left" wrapText="1"/>
    </xf>
    <xf numFmtId="0" fontId="14" fillId="0" borderId="0"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center" vertical="center"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8" xfId="0" applyFont="1" applyBorder="1" applyAlignment="1">
      <alignment horizontal="left" vertical="top"/>
    </xf>
    <xf numFmtId="0" fontId="2" fillId="3" borderId="2" xfId="0" applyFont="1" applyFill="1" applyBorder="1" applyAlignment="1">
      <alignment vertical="top" wrapText="1"/>
    </xf>
    <xf numFmtId="0" fontId="4" fillId="0" borderId="0" xfId="0" applyFont="1" applyAlignment="1">
      <alignment horizont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3" fillId="4" borderId="1" xfId="0" applyFont="1" applyFill="1" applyBorder="1" applyAlignment="1">
      <alignment horizontal="center" vertical="center" wrapText="1"/>
    </xf>
    <xf numFmtId="0" fontId="7" fillId="0" borderId="0"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left" vertical="top" wrapText="1"/>
    </xf>
    <xf numFmtId="0" fontId="10" fillId="0" borderId="0" xfId="0" applyFont="1" applyBorder="1" applyAlignment="1">
      <alignment horizontal="left" vertical="top" wrapText="1"/>
    </xf>
    <xf numFmtId="0" fontId="2" fillId="3" borderId="2" xfId="0" applyFont="1" applyFill="1" applyBorder="1" applyAlignment="1">
      <alignment horizontal="left" vertical="top" wrapText="1"/>
    </xf>
    <xf numFmtId="0" fontId="16" fillId="0" borderId="9" xfId="0" applyFont="1" applyBorder="1" applyAlignment="1">
      <alignment horizontal="left"/>
    </xf>
    <xf numFmtId="0" fontId="16" fillId="0" borderId="0" xfId="0" applyFont="1" applyBorder="1" applyAlignment="1">
      <alignment horizontal="left"/>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8" xfId="0" applyFont="1" applyFill="1" applyBorder="1" applyAlignment="1">
      <alignment vertical="top" wrapText="1"/>
    </xf>
    <xf numFmtId="0" fontId="2" fillId="3" borderId="2" xfId="0" applyFont="1" applyFill="1" applyBorder="1" applyAlignment="1">
      <alignment vertical="top"/>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12" xfId="0" applyBorder="1" applyAlignment="1">
      <alignment horizontal="center" vertical="center" wrapText="1"/>
    </xf>
    <xf numFmtId="0" fontId="0" fillId="3" borderId="12" xfId="0" applyFill="1" applyBorder="1" applyAlignment="1">
      <alignment horizontal="center" vertical="center" wrapText="1"/>
    </xf>
    <xf numFmtId="4" fontId="21" fillId="3" borderId="2" xfId="0" applyNumberFormat="1" applyFont="1" applyFill="1" applyBorder="1" applyAlignment="1">
      <alignment horizontal="center" vertical="center"/>
    </xf>
    <xf numFmtId="0" fontId="0" fillId="3" borderId="2" xfId="0" applyFill="1" applyBorder="1" applyAlignment="1">
      <alignment horizontal="center" vertical="center"/>
    </xf>
    <xf numFmtId="0" fontId="0" fillId="4" borderId="12" xfId="0" applyFill="1" applyBorder="1" applyAlignment="1">
      <alignment vertical="center" wrapText="1"/>
    </xf>
    <xf numFmtId="0" fontId="12" fillId="7" borderId="1" xfId="0" applyFont="1" applyFill="1" applyBorder="1" applyAlignment="1">
      <alignment horizontal="center" vertical="center" wrapText="1"/>
    </xf>
    <xf numFmtId="0" fontId="0" fillId="7" borderId="12" xfId="0" applyFill="1" applyBorder="1" applyAlignment="1">
      <alignment horizontal="center" vertical="center" wrapText="1"/>
    </xf>
    <xf numFmtId="0" fontId="10" fillId="6" borderId="3" xfId="0" applyFont="1" applyFill="1" applyBorder="1" applyAlignment="1">
      <alignment horizontal="right" vertical="center" wrapText="1"/>
    </xf>
    <xf numFmtId="0" fontId="18" fillId="0" borderId="1" xfId="0" applyFont="1" applyBorder="1" applyAlignment="1">
      <alignment vertical="center" wrapText="1"/>
    </xf>
    <xf numFmtId="0" fontId="12" fillId="0" borderId="1" xfId="0" applyFont="1" applyBorder="1" applyAlignment="1">
      <alignment horizontal="center" vertical="center" wrapText="1"/>
    </xf>
    <xf numFmtId="0" fontId="1" fillId="3" borderId="12" xfId="0" applyFont="1" applyFill="1" applyBorder="1" applyAlignment="1">
      <alignment horizontal="center" vertical="center" wrapText="1"/>
    </xf>
    <xf numFmtId="0" fontId="13" fillId="3" borderId="1" xfId="0" applyFont="1" applyFill="1" applyBorder="1" applyAlignment="1">
      <alignment vertical="top" wrapText="1"/>
    </xf>
    <xf numFmtId="0" fontId="0" fillId="3" borderId="12" xfId="0" applyFill="1" applyBorder="1" applyAlignment="1">
      <alignment vertical="top" wrapText="1"/>
    </xf>
    <xf numFmtId="4" fontId="31" fillId="3" borderId="2" xfId="0" applyNumberFormat="1" applyFont="1" applyFill="1" applyBorder="1" applyAlignment="1">
      <alignment horizontal="center" vertical="center"/>
    </xf>
    <xf numFmtId="4" fontId="1" fillId="3" borderId="2" xfId="0" applyNumberFormat="1" applyFont="1" applyFill="1" applyBorder="1" applyAlignment="1">
      <alignment horizontal="center" vertical="center"/>
    </xf>
    <xf numFmtId="0" fontId="12" fillId="3" borderId="1" xfId="0" applyFont="1" applyFill="1" applyBorder="1" applyAlignment="1">
      <alignment vertical="top" wrapText="1"/>
    </xf>
    <xf numFmtId="0" fontId="1" fillId="3" borderId="12" xfId="0" applyFont="1" applyFill="1" applyBorder="1" applyAlignment="1">
      <alignment vertical="top"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1"/>
  <sheetViews>
    <sheetView tabSelected="1" zoomScaleNormal="100" workbookViewId="0">
      <selection activeCell="P125" sqref="P125"/>
    </sheetView>
  </sheetViews>
  <sheetFormatPr defaultRowHeight="15" x14ac:dyDescent="0.25"/>
  <cols>
    <col min="2" max="2" width="24.28515625" customWidth="1"/>
    <col min="3" max="3" width="7.7109375" customWidth="1"/>
    <col min="4" max="4" width="19" customWidth="1"/>
    <col min="5" max="5" width="10.7109375" customWidth="1"/>
    <col min="6" max="6" width="14" customWidth="1"/>
    <col min="8" max="8" width="9.85546875" customWidth="1"/>
    <col min="9" max="9" width="9.7109375" customWidth="1"/>
    <col min="10" max="10" width="11.42578125" customWidth="1"/>
    <col min="11" max="11" width="14.7109375" customWidth="1"/>
    <col min="12" max="12" width="15.140625" customWidth="1"/>
    <col min="13" max="13" width="17.140625" customWidth="1"/>
    <col min="14" max="14" width="15.5703125" customWidth="1"/>
    <col min="15" max="15" width="14.85546875" customWidth="1"/>
    <col min="16" max="16" width="15.140625" customWidth="1"/>
    <col min="17" max="17" width="15" customWidth="1"/>
    <col min="18" max="18" width="73" bestFit="1" customWidth="1"/>
  </cols>
  <sheetData>
    <row r="1" spans="1:18" ht="18" customHeight="1" x14ac:dyDescent="0.25">
      <c r="R1" s="23"/>
    </row>
    <row r="2" spans="1:18" ht="9" customHeight="1" x14ac:dyDescent="0.25">
      <c r="A2" s="1"/>
      <c r="B2" s="1"/>
      <c r="C2" s="1"/>
      <c r="D2" s="2"/>
      <c r="E2" s="2"/>
      <c r="F2" s="2"/>
      <c r="G2" s="2"/>
      <c r="H2" s="2"/>
      <c r="I2" s="2"/>
      <c r="J2" s="2"/>
      <c r="K2" s="2"/>
      <c r="L2" s="2"/>
      <c r="M2" s="2"/>
      <c r="N2" s="2"/>
      <c r="P2" s="3"/>
      <c r="R2" s="24" t="s">
        <v>38</v>
      </c>
    </row>
    <row r="3" spans="1:18" ht="15.75" x14ac:dyDescent="0.25">
      <c r="A3" s="1"/>
      <c r="B3" s="1"/>
      <c r="C3" s="1"/>
      <c r="D3" s="4"/>
      <c r="E3" s="4"/>
      <c r="F3" s="4"/>
      <c r="G3" s="4"/>
      <c r="H3" s="4"/>
      <c r="I3" s="4"/>
      <c r="J3" s="4"/>
      <c r="K3" s="4"/>
      <c r="L3" s="4"/>
      <c r="M3" s="4"/>
      <c r="N3" s="4"/>
      <c r="P3" s="3"/>
    </row>
    <row r="4" spans="1:18" ht="15.75" x14ac:dyDescent="0.25">
      <c r="A4" s="1"/>
      <c r="B4" s="1"/>
      <c r="C4" s="1"/>
      <c r="D4" s="4"/>
      <c r="E4" s="4"/>
      <c r="F4" s="4"/>
      <c r="G4" s="4"/>
      <c r="H4" s="4"/>
      <c r="I4" s="4"/>
      <c r="J4" s="4"/>
      <c r="K4" s="4"/>
      <c r="L4" s="4"/>
      <c r="M4" s="4"/>
      <c r="N4" s="4"/>
      <c r="P4" s="3"/>
    </row>
    <row r="5" spans="1:18" ht="15.75" customHeight="1" x14ac:dyDescent="0.25">
      <c r="A5" s="22"/>
      <c r="B5" s="22"/>
      <c r="C5" s="22"/>
      <c r="D5" s="22"/>
      <c r="E5" s="22"/>
      <c r="F5" s="143" t="s">
        <v>44</v>
      </c>
      <c r="G5" s="143"/>
      <c r="H5" s="143"/>
      <c r="I5" s="143"/>
      <c r="J5" s="143"/>
      <c r="K5" s="143"/>
      <c r="L5" s="143"/>
      <c r="M5" s="143"/>
      <c r="N5" s="143"/>
      <c r="O5" s="143"/>
      <c r="P5" s="143"/>
      <c r="Q5" s="22"/>
      <c r="R5" s="22"/>
    </row>
    <row r="6" spans="1:18" ht="15.75" customHeight="1" x14ac:dyDescent="0.25">
      <c r="A6" s="158" t="s">
        <v>12</v>
      </c>
      <c r="B6" s="158"/>
      <c r="C6" s="158"/>
      <c r="D6" s="158"/>
      <c r="E6" s="158"/>
      <c r="F6" s="158"/>
      <c r="G6" s="158"/>
      <c r="H6" s="158"/>
      <c r="I6" s="158"/>
      <c r="J6" s="158"/>
      <c r="K6" s="158"/>
      <c r="L6" s="158"/>
      <c r="M6" s="158"/>
      <c r="N6" s="158"/>
      <c r="O6" s="158"/>
      <c r="P6" s="158"/>
      <c r="Q6" s="158"/>
      <c r="R6" s="158"/>
    </row>
    <row r="7" spans="1:18" ht="15.75" x14ac:dyDescent="0.25">
      <c r="A7" s="154" t="s">
        <v>13</v>
      </c>
      <c r="B7" s="154"/>
      <c r="C7" s="154"/>
      <c r="D7" s="154"/>
      <c r="E7" s="154"/>
      <c r="F7" s="154"/>
      <c r="G7" s="154"/>
      <c r="H7" s="154"/>
      <c r="I7" s="154"/>
      <c r="J7" s="154"/>
      <c r="K7" s="154"/>
      <c r="L7" s="154"/>
      <c r="M7" s="154"/>
      <c r="N7" s="154"/>
      <c r="O7" s="154"/>
      <c r="P7" s="154"/>
      <c r="Q7" s="154"/>
      <c r="R7" s="154"/>
    </row>
    <row r="8" spans="1:18" ht="15.75" x14ac:dyDescent="0.25">
      <c r="A8" s="8"/>
      <c r="B8" s="8"/>
      <c r="C8" s="8"/>
      <c r="D8" s="8"/>
      <c r="E8" s="8"/>
      <c r="F8" s="8"/>
      <c r="G8" s="8"/>
      <c r="H8" s="8"/>
      <c r="I8" s="8"/>
      <c r="J8" s="144" t="s">
        <v>45</v>
      </c>
      <c r="K8" s="144"/>
      <c r="L8" s="144"/>
      <c r="M8" s="144"/>
      <c r="N8" s="8"/>
      <c r="O8" s="8"/>
      <c r="P8" s="8"/>
      <c r="Q8" s="8"/>
      <c r="R8" s="8"/>
    </row>
    <row r="9" spans="1:18" ht="15.75" customHeight="1" x14ac:dyDescent="0.25">
      <c r="A9" s="159" t="s">
        <v>14</v>
      </c>
      <c r="B9" s="159"/>
      <c r="C9" s="159"/>
      <c r="D9" s="159"/>
      <c r="E9" s="159"/>
      <c r="F9" s="159"/>
      <c r="G9" s="159"/>
      <c r="H9" s="159"/>
      <c r="I9" s="159"/>
      <c r="J9" s="159"/>
      <c r="K9" s="159"/>
      <c r="L9" s="159"/>
      <c r="M9" s="159"/>
      <c r="N9" s="159"/>
      <c r="O9" s="159"/>
      <c r="P9" s="159"/>
      <c r="Q9" s="159"/>
      <c r="R9" s="159"/>
    </row>
    <row r="10" spans="1:18" ht="15.75" x14ac:dyDescent="0.25">
      <c r="A10" s="5"/>
      <c r="B10" s="5"/>
      <c r="C10" s="1"/>
      <c r="D10" s="7"/>
      <c r="E10" s="7"/>
      <c r="F10" s="7"/>
      <c r="G10" s="7"/>
      <c r="H10" s="7"/>
      <c r="I10" s="7"/>
      <c r="J10" s="7"/>
      <c r="K10" s="7"/>
      <c r="L10" s="7"/>
      <c r="M10" s="7"/>
      <c r="N10" s="7"/>
    </row>
    <row r="11" spans="1:18" ht="15.75" x14ac:dyDescent="0.25">
      <c r="A11" s="5"/>
      <c r="B11" s="5"/>
      <c r="C11" s="1"/>
      <c r="D11" s="7"/>
      <c r="E11" s="7"/>
      <c r="F11" s="7"/>
      <c r="G11" s="7"/>
      <c r="H11" s="7"/>
      <c r="I11" s="7"/>
      <c r="J11" s="7"/>
      <c r="K11" s="7"/>
      <c r="L11" s="7"/>
      <c r="M11" s="7"/>
      <c r="N11" s="7"/>
    </row>
    <row r="12" spans="1:18" ht="15.75" x14ac:dyDescent="0.25">
      <c r="A12" s="5"/>
      <c r="B12" s="5"/>
      <c r="C12" s="1"/>
      <c r="D12" s="7"/>
      <c r="E12" s="7"/>
      <c r="F12" s="7"/>
      <c r="G12" s="7"/>
      <c r="H12" s="7"/>
      <c r="I12" s="7"/>
      <c r="J12" s="7"/>
      <c r="K12" s="7"/>
      <c r="L12" s="7"/>
      <c r="M12" s="7"/>
      <c r="N12" s="7"/>
    </row>
    <row r="13" spans="1:18" ht="15.75" x14ac:dyDescent="0.25">
      <c r="A13" s="6" t="s">
        <v>21</v>
      </c>
      <c r="B13" s="5"/>
      <c r="C13" s="1"/>
      <c r="D13" s="7"/>
      <c r="E13" s="7"/>
      <c r="F13" s="7"/>
      <c r="G13" s="7"/>
      <c r="H13" s="7"/>
      <c r="I13" s="7"/>
      <c r="J13" s="7"/>
      <c r="K13" s="7"/>
      <c r="L13" s="7"/>
      <c r="M13" s="7"/>
      <c r="N13" s="7"/>
    </row>
    <row r="14" spans="1:18" ht="15.75" x14ac:dyDescent="0.25">
      <c r="A14" s="132" t="s">
        <v>23</v>
      </c>
      <c r="B14" s="132"/>
      <c r="C14" s="132"/>
      <c r="D14" s="132"/>
      <c r="E14" s="132" t="s">
        <v>22</v>
      </c>
      <c r="F14" s="132"/>
      <c r="G14" s="132"/>
      <c r="H14" s="132"/>
      <c r="I14" s="132"/>
      <c r="J14" s="132"/>
      <c r="K14" s="132"/>
      <c r="L14" s="132"/>
      <c r="M14" s="132"/>
      <c r="N14" s="132"/>
      <c r="O14" s="132"/>
      <c r="P14" s="132"/>
      <c r="Q14" s="132"/>
      <c r="R14" s="132"/>
    </row>
    <row r="15" spans="1:18" ht="15.75" x14ac:dyDescent="0.25">
      <c r="A15" s="131" t="s">
        <v>7</v>
      </c>
      <c r="B15" s="131"/>
      <c r="C15" s="131"/>
      <c r="D15" s="131"/>
      <c r="E15" s="131"/>
      <c r="F15" s="131"/>
      <c r="G15" s="131"/>
      <c r="H15" s="131"/>
      <c r="I15" s="131"/>
      <c r="J15" s="131"/>
      <c r="K15" s="131"/>
      <c r="L15" s="131"/>
      <c r="M15" s="131"/>
      <c r="N15" s="131"/>
      <c r="O15" s="131"/>
      <c r="P15" s="131"/>
      <c r="Q15" s="131"/>
      <c r="R15" s="131"/>
    </row>
    <row r="16" spans="1:18" ht="55.5" customHeight="1" x14ac:dyDescent="0.25">
      <c r="A16" s="141" t="s">
        <v>237</v>
      </c>
      <c r="B16" s="141"/>
      <c r="C16" s="141"/>
      <c r="D16" s="141"/>
      <c r="E16" s="153" t="s">
        <v>240</v>
      </c>
      <c r="F16" s="153"/>
      <c r="G16" s="153"/>
      <c r="H16" s="153"/>
      <c r="I16" s="153"/>
      <c r="J16" s="153"/>
      <c r="K16" s="153"/>
      <c r="L16" s="153"/>
      <c r="M16" s="153"/>
      <c r="N16" s="153"/>
      <c r="O16" s="153"/>
      <c r="P16" s="153"/>
      <c r="Q16" s="153"/>
      <c r="R16" s="153"/>
    </row>
    <row r="17" spans="1:18" ht="162.75" customHeight="1" x14ac:dyDescent="0.25">
      <c r="A17" s="141" t="s">
        <v>46</v>
      </c>
      <c r="B17" s="141"/>
      <c r="C17" s="141"/>
      <c r="D17" s="141"/>
      <c r="E17" s="153" t="s">
        <v>272</v>
      </c>
      <c r="F17" s="168"/>
      <c r="G17" s="168"/>
      <c r="H17" s="168"/>
      <c r="I17" s="168"/>
      <c r="J17" s="168"/>
      <c r="K17" s="168"/>
      <c r="L17" s="168"/>
      <c r="M17" s="168"/>
      <c r="N17" s="168"/>
      <c r="O17" s="168"/>
      <c r="P17" s="168"/>
      <c r="Q17" s="168"/>
      <c r="R17" s="168"/>
    </row>
    <row r="18" spans="1:18" ht="73.5" customHeight="1" x14ac:dyDescent="0.25">
      <c r="A18" s="142" t="s">
        <v>47</v>
      </c>
      <c r="B18" s="142"/>
      <c r="C18" s="142"/>
      <c r="D18" s="142"/>
      <c r="E18" s="153" t="s">
        <v>278</v>
      </c>
      <c r="F18" s="153"/>
      <c r="G18" s="153"/>
      <c r="H18" s="153"/>
      <c r="I18" s="153"/>
      <c r="J18" s="153"/>
      <c r="K18" s="153"/>
      <c r="L18" s="153"/>
      <c r="M18" s="153"/>
      <c r="N18" s="153"/>
      <c r="O18" s="153"/>
      <c r="P18" s="153"/>
      <c r="Q18" s="153"/>
      <c r="R18" s="153"/>
    </row>
    <row r="19" spans="1:18" ht="15.75" x14ac:dyDescent="0.25">
      <c r="A19" s="136"/>
      <c r="B19" s="136"/>
      <c r="C19" s="136"/>
      <c r="D19" s="136"/>
      <c r="E19" s="140"/>
      <c r="F19" s="140"/>
      <c r="G19" s="140"/>
      <c r="H19" s="140"/>
      <c r="I19" s="140"/>
      <c r="J19" s="140"/>
      <c r="K19" s="140"/>
      <c r="L19" s="140"/>
      <c r="M19" s="140"/>
      <c r="N19" s="140"/>
      <c r="O19" s="140"/>
      <c r="P19" s="140"/>
      <c r="Q19" s="140"/>
      <c r="R19" s="140"/>
    </row>
    <row r="20" spans="1:18" ht="15.75" x14ac:dyDescent="0.25">
      <c r="A20" s="163" t="s">
        <v>9</v>
      </c>
      <c r="B20" s="164"/>
      <c r="C20" s="164"/>
      <c r="D20" s="164"/>
      <c r="E20" s="164"/>
      <c r="F20" s="164"/>
      <c r="G20" s="164"/>
      <c r="H20" s="164"/>
      <c r="I20" s="164"/>
      <c r="J20" s="164"/>
      <c r="K20" s="164"/>
      <c r="L20" s="164"/>
      <c r="M20" s="164"/>
      <c r="N20" s="164"/>
      <c r="O20" s="164"/>
      <c r="P20" s="164"/>
      <c r="Q20" s="164"/>
      <c r="R20" s="164"/>
    </row>
    <row r="21" spans="1:18" ht="39.75" customHeight="1" x14ac:dyDescent="0.25">
      <c r="A21" s="137" t="s">
        <v>48</v>
      </c>
      <c r="B21" s="138"/>
      <c r="C21" s="138"/>
      <c r="D21" s="139"/>
      <c r="E21" s="165" t="s">
        <v>238</v>
      </c>
      <c r="F21" s="166"/>
      <c r="G21" s="166"/>
      <c r="H21" s="166"/>
      <c r="I21" s="166"/>
      <c r="J21" s="166"/>
      <c r="K21" s="166"/>
      <c r="L21" s="166"/>
      <c r="M21" s="166"/>
      <c r="N21" s="166"/>
      <c r="O21" s="166"/>
      <c r="P21" s="166"/>
      <c r="Q21" s="166"/>
      <c r="R21" s="167"/>
    </row>
    <row r="22" spans="1:18" ht="163.5" customHeight="1" x14ac:dyDescent="0.25">
      <c r="A22" s="137" t="s">
        <v>49</v>
      </c>
      <c r="B22" s="138"/>
      <c r="C22" s="138"/>
      <c r="D22" s="139"/>
      <c r="E22" s="114" t="s">
        <v>277</v>
      </c>
      <c r="F22" s="115"/>
      <c r="G22" s="115"/>
      <c r="H22" s="115"/>
      <c r="I22" s="115"/>
      <c r="J22" s="115"/>
      <c r="K22" s="115"/>
      <c r="L22" s="115"/>
      <c r="M22" s="115"/>
      <c r="N22" s="115"/>
      <c r="O22" s="115"/>
      <c r="P22" s="115"/>
      <c r="Q22" s="115"/>
      <c r="R22" s="116"/>
    </row>
    <row r="23" spans="1:18" ht="157.5" customHeight="1" x14ac:dyDescent="0.25">
      <c r="A23" s="137" t="s">
        <v>50</v>
      </c>
      <c r="B23" s="138"/>
      <c r="C23" s="138"/>
      <c r="D23" s="139"/>
      <c r="E23" s="114" t="s">
        <v>273</v>
      </c>
      <c r="F23" s="115"/>
      <c r="G23" s="115"/>
      <c r="H23" s="115"/>
      <c r="I23" s="115"/>
      <c r="J23" s="115"/>
      <c r="K23" s="115"/>
      <c r="L23" s="115"/>
      <c r="M23" s="115"/>
      <c r="N23" s="115"/>
      <c r="O23" s="115"/>
      <c r="P23" s="115"/>
      <c r="Q23" s="115"/>
      <c r="R23" s="116"/>
    </row>
    <row r="24" spans="1:18" ht="15.75" x14ac:dyDescent="0.25">
      <c r="A24" s="136"/>
      <c r="B24" s="136"/>
      <c r="C24" s="136"/>
      <c r="D24" s="136"/>
      <c r="E24" s="140"/>
      <c r="F24" s="140"/>
      <c r="G24" s="140"/>
      <c r="H24" s="140"/>
      <c r="I24" s="140"/>
      <c r="J24" s="140"/>
      <c r="K24" s="140"/>
      <c r="L24" s="140"/>
      <c r="M24" s="140"/>
      <c r="N24" s="140"/>
      <c r="O24" s="140"/>
      <c r="P24" s="140"/>
      <c r="Q24" s="140"/>
      <c r="R24" s="140"/>
    </row>
    <row r="25" spans="1:18" ht="15.75" x14ac:dyDescent="0.25">
      <c r="A25" s="133" t="s">
        <v>10</v>
      </c>
      <c r="B25" s="134"/>
      <c r="C25" s="134"/>
      <c r="D25" s="134"/>
      <c r="E25" s="134"/>
      <c r="F25" s="134"/>
      <c r="G25" s="134"/>
      <c r="H25" s="134"/>
      <c r="I25" s="134"/>
      <c r="J25" s="134"/>
      <c r="K25" s="134"/>
      <c r="L25" s="134"/>
      <c r="M25" s="134"/>
      <c r="N25" s="134"/>
      <c r="O25" s="134"/>
      <c r="P25" s="134"/>
      <c r="Q25" s="134"/>
      <c r="R25" s="135"/>
    </row>
    <row r="26" spans="1:18" ht="105.75" customHeight="1" x14ac:dyDescent="0.25">
      <c r="A26" s="117" t="s">
        <v>51</v>
      </c>
      <c r="B26" s="117"/>
      <c r="C26" s="117"/>
      <c r="D26" s="117"/>
      <c r="E26" s="162" t="s">
        <v>275</v>
      </c>
      <c r="F26" s="162"/>
      <c r="G26" s="162"/>
      <c r="H26" s="162"/>
      <c r="I26" s="162"/>
      <c r="J26" s="162"/>
      <c r="K26" s="162"/>
      <c r="L26" s="162"/>
      <c r="M26" s="162"/>
      <c r="N26" s="162"/>
      <c r="O26" s="162"/>
      <c r="P26" s="162"/>
      <c r="Q26" s="162"/>
      <c r="R26" s="162"/>
    </row>
    <row r="27" spans="1:18" ht="135.75" customHeight="1" x14ac:dyDescent="0.25">
      <c r="A27" s="117" t="s">
        <v>52</v>
      </c>
      <c r="B27" s="117"/>
      <c r="C27" s="117"/>
      <c r="D27" s="117"/>
      <c r="E27" s="162" t="s">
        <v>239</v>
      </c>
      <c r="F27" s="162"/>
      <c r="G27" s="162"/>
      <c r="H27" s="162"/>
      <c r="I27" s="162"/>
      <c r="J27" s="162"/>
      <c r="K27" s="162"/>
      <c r="L27" s="162"/>
      <c r="M27" s="162"/>
      <c r="N27" s="162"/>
      <c r="O27" s="162"/>
      <c r="P27" s="162"/>
      <c r="Q27" s="162"/>
      <c r="R27" s="162"/>
    </row>
    <row r="28" spans="1:18" ht="15.75" x14ac:dyDescent="0.25">
      <c r="A28" s="136"/>
      <c r="B28" s="136"/>
      <c r="C28" s="136"/>
      <c r="D28" s="136"/>
      <c r="E28" s="140"/>
      <c r="F28" s="140"/>
      <c r="G28" s="140"/>
      <c r="H28" s="140"/>
      <c r="I28" s="140"/>
      <c r="J28" s="140"/>
      <c r="K28" s="140"/>
      <c r="L28" s="140"/>
      <c r="M28" s="140"/>
      <c r="N28" s="140"/>
      <c r="O28" s="140"/>
      <c r="P28" s="140"/>
      <c r="Q28" s="140"/>
      <c r="R28" s="140"/>
    </row>
    <row r="29" spans="1:18" ht="15.75" x14ac:dyDescent="0.25">
      <c r="A29" s="133" t="s">
        <v>11</v>
      </c>
      <c r="B29" s="134"/>
      <c r="C29" s="134"/>
      <c r="D29" s="134"/>
      <c r="E29" s="134"/>
      <c r="F29" s="134"/>
      <c r="G29" s="134"/>
      <c r="H29" s="134"/>
      <c r="I29" s="134"/>
      <c r="J29" s="134"/>
      <c r="K29" s="134"/>
      <c r="L29" s="134"/>
      <c r="M29" s="134"/>
      <c r="N29" s="134"/>
      <c r="O29" s="134"/>
      <c r="P29" s="134"/>
      <c r="Q29" s="134"/>
      <c r="R29" s="135"/>
    </row>
    <row r="30" spans="1:18" ht="114" customHeight="1" x14ac:dyDescent="0.25">
      <c r="A30" s="150" t="s">
        <v>53</v>
      </c>
      <c r="B30" s="151"/>
      <c r="C30" s="151"/>
      <c r="D30" s="152"/>
      <c r="E30" s="114" t="s">
        <v>274</v>
      </c>
      <c r="F30" s="115"/>
      <c r="G30" s="115"/>
      <c r="H30" s="115"/>
      <c r="I30" s="115"/>
      <c r="J30" s="115"/>
      <c r="K30" s="115"/>
      <c r="L30" s="115"/>
      <c r="M30" s="115"/>
      <c r="N30" s="115"/>
      <c r="O30" s="115"/>
      <c r="P30" s="115"/>
      <c r="Q30" s="115"/>
      <c r="R30" s="116"/>
    </row>
    <row r="31" spans="1:18" ht="91.5" customHeight="1" x14ac:dyDescent="0.25">
      <c r="A31" s="150" t="s">
        <v>54</v>
      </c>
      <c r="B31" s="151"/>
      <c r="C31" s="151"/>
      <c r="D31" s="152"/>
      <c r="E31" s="114" t="s">
        <v>276</v>
      </c>
      <c r="F31" s="115"/>
      <c r="G31" s="115"/>
      <c r="H31" s="115"/>
      <c r="I31" s="115"/>
      <c r="J31" s="115"/>
      <c r="K31" s="115"/>
      <c r="L31" s="115"/>
      <c r="M31" s="115"/>
      <c r="N31" s="115"/>
      <c r="O31" s="115"/>
      <c r="P31" s="115"/>
      <c r="Q31" s="115"/>
      <c r="R31" s="116"/>
    </row>
    <row r="32" spans="1:18" ht="34.5" customHeight="1" x14ac:dyDescent="0.25">
      <c r="A32" s="145" t="s">
        <v>37</v>
      </c>
      <c r="B32" s="146"/>
      <c r="C32" s="146"/>
      <c r="D32" s="146"/>
      <c r="E32" s="146"/>
      <c r="F32" s="146"/>
      <c r="G32" s="146"/>
      <c r="H32" s="146"/>
      <c r="I32" s="146"/>
      <c r="J32" s="146"/>
      <c r="K32" s="146"/>
      <c r="L32" s="146"/>
      <c r="M32" s="146"/>
      <c r="N32" s="146"/>
      <c r="O32" s="146"/>
      <c r="P32" s="146"/>
      <c r="Q32" s="146"/>
      <c r="R32" s="146"/>
    </row>
    <row r="33" spans="1:18" ht="24.75" customHeight="1" x14ac:dyDescent="0.25">
      <c r="A33" s="145" t="s">
        <v>39</v>
      </c>
      <c r="B33" s="146"/>
      <c r="C33" s="146"/>
      <c r="D33" s="146"/>
      <c r="E33" s="146"/>
      <c r="F33" s="146"/>
      <c r="G33" s="146"/>
      <c r="H33" s="146"/>
      <c r="I33" s="146"/>
      <c r="J33" s="146"/>
      <c r="K33" s="146"/>
      <c r="L33" s="146"/>
      <c r="M33" s="146"/>
      <c r="N33" s="146"/>
      <c r="O33" s="146"/>
      <c r="P33" s="146"/>
      <c r="Q33" s="146"/>
      <c r="R33" s="146"/>
    </row>
    <row r="34" spans="1:18" ht="9.75" customHeight="1" x14ac:dyDescent="0.25">
      <c r="A34" s="5"/>
      <c r="B34" s="5"/>
      <c r="C34" s="1"/>
      <c r="D34" s="4"/>
      <c r="E34" s="4"/>
      <c r="F34" s="4"/>
      <c r="G34" s="4"/>
      <c r="H34" s="4"/>
      <c r="I34" s="4"/>
      <c r="J34" s="4"/>
      <c r="K34" s="4"/>
      <c r="L34" s="4"/>
      <c r="M34" s="4"/>
      <c r="N34" s="4"/>
    </row>
    <row r="35" spans="1:18" ht="12" customHeight="1" x14ac:dyDescent="0.25">
      <c r="A35" s="6" t="s">
        <v>26</v>
      </c>
      <c r="B35" s="6"/>
      <c r="C35" s="1"/>
      <c r="D35" s="1"/>
      <c r="E35" s="1"/>
      <c r="F35" s="1"/>
      <c r="G35" s="1"/>
      <c r="H35" s="1"/>
      <c r="I35" s="1"/>
      <c r="J35" s="1"/>
      <c r="K35" s="1"/>
      <c r="L35" s="1"/>
      <c r="M35" s="1"/>
      <c r="N35" s="1"/>
    </row>
    <row r="36" spans="1:18" ht="25.5" customHeight="1" x14ac:dyDescent="0.25">
      <c r="A36" s="155" t="s">
        <v>0</v>
      </c>
      <c r="B36" s="169" t="s">
        <v>20</v>
      </c>
      <c r="C36" s="149" t="s">
        <v>25</v>
      </c>
      <c r="D36" s="127"/>
      <c r="E36" s="127"/>
      <c r="F36" s="127"/>
      <c r="G36" s="127"/>
      <c r="H36" s="149" t="s">
        <v>27</v>
      </c>
      <c r="I36" s="127"/>
      <c r="J36" s="127"/>
      <c r="K36" s="127"/>
      <c r="L36" s="124" t="s">
        <v>36</v>
      </c>
      <c r="M36" s="125"/>
      <c r="N36" s="125"/>
      <c r="O36" s="124" t="s">
        <v>15</v>
      </c>
      <c r="P36" s="125"/>
      <c r="Q36" s="125"/>
      <c r="R36" s="126" t="s">
        <v>31</v>
      </c>
    </row>
    <row r="37" spans="1:18" ht="58.5" customHeight="1" x14ac:dyDescent="0.25">
      <c r="A37" s="156"/>
      <c r="B37" s="170"/>
      <c r="C37" s="10" t="s">
        <v>1</v>
      </c>
      <c r="D37" s="10" t="s">
        <v>2</v>
      </c>
      <c r="E37" s="11" t="s">
        <v>32</v>
      </c>
      <c r="F37" s="11" t="s">
        <v>33</v>
      </c>
      <c r="G37" s="11" t="s">
        <v>3</v>
      </c>
      <c r="H37" s="12" t="s">
        <v>28</v>
      </c>
      <c r="I37" s="12" t="s">
        <v>29</v>
      </c>
      <c r="J37" s="12" t="s">
        <v>34</v>
      </c>
      <c r="K37" s="12" t="s">
        <v>35</v>
      </c>
      <c r="L37" s="13" t="s">
        <v>4</v>
      </c>
      <c r="M37" s="10" t="s">
        <v>18</v>
      </c>
      <c r="N37" s="13" t="s">
        <v>16</v>
      </c>
      <c r="O37" s="13" t="s">
        <v>114</v>
      </c>
      <c r="P37" s="10" t="s">
        <v>19</v>
      </c>
      <c r="Q37" s="13" t="s">
        <v>17</v>
      </c>
      <c r="R37" s="127"/>
    </row>
    <row r="38" spans="1:18" ht="45" customHeight="1" x14ac:dyDescent="0.25">
      <c r="A38" s="37" t="s">
        <v>8</v>
      </c>
      <c r="B38" s="61" t="s">
        <v>129</v>
      </c>
      <c r="C38" s="29" t="s">
        <v>55</v>
      </c>
      <c r="D38" s="15" t="s">
        <v>128</v>
      </c>
      <c r="E38" s="28">
        <v>28100</v>
      </c>
      <c r="F38" s="86">
        <v>0</v>
      </c>
      <c r="G38" s="78" t="s">
        <v>282</v>
      </c>
      <c r="H38" s="16"/>
      <c r="I38" s="16"/>
      <c r="J38" s="16"/>
      <c r="K38" s="16"/>
      <c r="L38" s="16"/>
      <c r="M38" s="16"/>
      <c r="N38" s="16"/>
      <c r="O38" s="16"/>
      <c r="P38" s="16"/>
      <c r="Q38" s="16"/>
      <c r="R38" s="65" t="s">
        <v>286</v>
      </c>
    </row>
    <row r="39" spans="1:18" ht="76.5" customHeight="1" x14ac:dyDescent="0.25">
      <c r="A39" s="37" t="s">
        <v>5</v>
      </c>
      <c r="B39" s="54" t="s">
        <v>130</v>
      </c>
      <c r="C39" s="29" t="s">
        <v>56</v>
      </c>
      <c r="D39" s="55" t="s">
        <v>131</v>
      </c>
      <c r="E39" s="29">
        <v>40</v>
      </c>
      <c r="F39" s="29">
        <v>25</v>
      </c>
      <c r="G39" s="78" t="s">
        <v>282</v>
      </c>
      <c r="H39" s="16"/>
      <c r="I39" s="16"/>
      <c r="J39" s="16"/>
      <c r="K39" s="16"/>
      <c r="L39" s="16"/>
      <c r="M39" s="16"/>
      <c r="N39" s="16"/>
      <c r="O39" s="16"/>
      <c r="P39" s="16"/>
      <c r="Q39" s="16"/>
      <c r="R39" s="65" t="s">
        <v>287</v>
      </c>
    </row>
    <row r="40" spans="1:18" ht="51.75" customHeight="1" x14ac:dyDescent="0.25">
      <c r="A40" s="38"/>
      <c r="B40" s="17"/>
      <c r="C40" s="29" t="s">
        <v>57</v>
      </c>
      <c r="D40" s="15" t="s">
        <v>132</v>
      </c>
      <c r="E40" s="31">
        <v>166124.5</v>
      </c>
      <c r="F40" s="31">
        <v>90193.5</v>
      </c>
      <c r="G40" s="74">
        <v>90193.5</v>
      </c>
      <c r="H40" s="16"/>
      <c r="I40" s="16"/>
      <c r="J40" s="16"/>
      <c r="K40" s="16"/>
      <c r="L40" s="16"/>
      <c r="M40" s="16"/>
      <c r="N40" s="16"/>
      <c r="O40" s="16"/>
      <c r="P40" s="16"/>
      <c r="Q40" s="16"/>
      <c r="R40" s="18" t="s">
        <v>265</v>
      </c>
    </row>
    <row r="41" spans="1:18" ht="36" x14ac:dyDescent="0.25">
      <c r="A41" s="38"/>
      <c r="B41" s="17"/>
      <c r="C41" s="29" t="s">
        <v>58</v>
      </c>
      <c r="D41" s="27" t="s">
        <v>133</v>
      </c>
      <c r="E41" s="29">
        <v>0.72799999999999998</v>
      </c>
      <c r="F41" s="29">
        <v>0.39</v>
      </c>
      <c r="G41" s="29">
        <v>0.39</v>
      </c>
      <c r="H41" s="16"/>
      <c r="I41" s="16"/>
      <c r="J41" s="16"/>
      <c r="K41" s="16"/>
      <c r="L41" s="16"/>
      <c r="M41" s="16"/>
      <c r="N41" s="16"/>
      <c r="O41" s="16">
        <f>2071-2016</f>
        <v>55</v>
      </c>
      <c r="P41" s="16"/>
      <c r="Q41" s="16"/>
      <c r="R41" s="18" t="s">
        <v>264</v>
      </c>
    </row>
    <row r="42" spans="1:18" ht="91.5" customHeight="1" x14ac:dyDescent="0.25">
      <c r="A42" s="38"/>
      <c r="B42" s="17"/>
      <c r="C42" s="29" t="s">
        <v>59</v>
      </c>
      <c r="D42" s="27" t="s">
        <v>134</v>
      </c>
      <c r="E42" s="29">
        <v>5</v>
      </c>
      <c r="F42" s="29">
        <v>5</v>
      </c>
      <c r="G42" s="29">
        <v>5</v>
      </c>
      <c r="H42" s="16"/>
      <c r="I42" s="16"/>
      <c r="J42" s="16"/>
      <c r="K42" s="16"/>
      <c r="L42" s="16"/>
      <c r="M42" s="16"/>
      <c r="N42" s="16"/>
      <c r="O42" s="16"/>
      <c r="P42" s="16"/>
      <c r="Q42" s="16"/>
      <c r="R42" s="18" t="s">
        <v>206</v>
      </c>
    </row>
    <row r="43" spans="1:18" ht="38.25" customHeight="1" x14ac:dyDescent="0.25">
      <c r="A43" s="38"/>
      <c r="B43" s="17"/>
      <c r="C43" s="29" t="s">
        <v>60</v>
      </c>
      <c r="D43" s="27" t="s">
        <v>135</v>
      </c>
      <c r="E43" s="29">
        <v>293</v>
      </c>
      <c r="F43" s="29">
        <v>0</v>
      </c>
      <c r="G43" s="29">
        <v>0</v>
      </c>
      <c r="H43" s="16"/>
      <c r="I43" s="16"/>
      <c r="J43" s="16"/>
      <c r="K43" s="16"/>
      <c r="L43" s="16"/>
      <c r="M43" s="16"/>
      <c r="N43" s="16"/>
      <c r="O43" s="16"/>
      <c r="P43" s="16"/>
      <c r="Q43" s="16"/>
      <c r="R43" s="18"/>
    </row>
    <row r="44" spans="1:18" ht="28.5" customHeight="1" x14ac:dyDescent="0.25">
      <c r="A44" s="38"/>
      <c r="B44" s="17"/>
      <c r="C44" s="29" t="s">
        <v>61</v>
      </c>
      <c r="D44" s="27" t="s">
        <v>136</v>
      </c>
      <c r="E44" s="29">
        <v>0.44</v>
      </c>
      <c r="F44" s="29">
        <v>0.44</v>
      </c>
      <c r="G44" s="29">
        <v>0.44</v>
      </c>
      <c r="H44" s="16"/>
      <c r="I44" s="16"/>
      <c r="J44" s="16"/>
      <c r="K44" s="16"/>
      <c r="L44" s="16"/>
      <c r="M44" s="16"/>
      <c r="N44" s="16"/>
      <c r="O44" s="16"/>
      <c r="P44" s="16"/>
      <c r="Q44" s="16"/>
      <c r="R44" s="18" t="s">
        <v>205</v>
      </c>
    </row>
    <row r="45" spans="1:18" ht="42.75" customHeight="1" x14ac:dyDescent="0.25">
      <c r="A45" s="38"/>
      <c r="B45" s="17"/>
      <c r="C45" s="29" t="s">
        <v>62</v>
      </c>
      <c r="D45" s="27" t="s">
        <v>137</v>
      </c>
      <c r="E45" s="29">
        <v>1</v>
      </c>
      <c r="F45" s="29">
        <v>0</v>
      </c>
      <c r="G45" s="29">
        <v>0</v>
      </c>
      <c r="H45" s="16"/>
      <c r="I45" s="16"/>
      <c r="J45" s="16"/>
      <c r="K45" s="16"/>
      <c r="L45" s="16"/>
      <c r="M45" s="16"/>
      <c r="N45" s="16"/>
      <c r="O45" s="16"/>
      <c r="P45" s="16"/>
      <c r="Q45" s="16"/>
      <c r="R45" s="18"/>
    </row>
    <row r="46" spans="1:18" ht="29.25" customHeight="1" x14ac:dyDescent="0.25">
      <c r="A46" s="17"/>
      <c r="B46" s="17"/>
      <c r="C46" s="29" t="s">
        <v>63</v>
      </c>
      <c r="D46" s="27" t="s">
        <v>138</v>
      </c>
      <c r="E46" s="29">
        <v>4</v>
      </c>
      <c r="F46" s="29">
        <v>0</v>
      </c>
      <c r="G46" s="29">
        <v>0</v>
      </c>
      <c r="H46" s="16"/>
      <c r="I46" s="16"/>
      <c r="J46" s="16"/>
      <c r="K46" s="16"/>
      <c r="L46" s="16"/>
      <c r="M46" s="16"/>
      <c r="N46" s="16"/>
      <c r="O46" s="16"/>
      <c r="P46" s="16"/>
      <c r="Q46" s="16"/>
      <c r="R46" s="18"/>
    </row>
    <row r="47" spans="1:18" ht="24" x14ac:dyDescent="0.25">
      <c r="A47" s="17"/>
      <c r="B47" s="17"/>
      <c r="C47" s="29" t="s">
        <v>64</v>
      </c>
      <c r="D47" s="15" t="s">
        <v>139</v>
      </c>
      <c r="E47" s="29">
        <v>1</v>
      </c>
      <c r="F47" s="29">
        <v>1</v>
      </c>
      <c r="G47" s="29">
        <v>1</v>
      </c>
      <c r="H47" s="16"/>
      <c r="I47" s="16"/>
      <c r="J47" s="16"/>
      <c r="K47" s="16"/>
      <c r="L47" s="16"/>
      <c r="M47" s="16"/>
      <c r="N47" s="16"/>
      <c r="O47" s="16"/>
      <c r="P47" s="16"/>
      <c r="Q47" s="16"/>
      <c r="R47" s="18" t="s">
        <v>266</v>
      </c>
    </row>
    <row r="48" spans="1:18" ht="57" customHeight="1" x14ac:dyDescent="0.25">
      <c r="A48" s="75" t="s">
        <v>6</v>
      </c>
      <c r="B48" s="65" t="s">
        <v>140</v>
      </c>
      <c r="C48" s="29" t="s">
        <v>63</v>
      </c>
      <c r="D48" s="15" t="s">
        <v>138</v>
      </c>
      <c r="E48" s="25">
        <v>1</v>
      </c>
      <c r="F48" s="16"/>
      <c r="G48" s="25">
        <v>0</v>
      </c>
      <c r="H48" s="25">
        <v>2016</v>
      </c>
      <c r="I48" s="25">
        <v>2023</v>
      </c>
      <c r="J48" s="19" t="s">
        <v>65</v>
      </c>
      <c r="K48" s="26" t="s">
        <v>66</v>
      </c>
      <c r="L48" s="35">
        <v>953134.25</v>
      </c>
      <c r="M48" s="35"/>
      <c r="N48" s="31">
        <v>953134.25</v>
      </c>
      <c r="O48" s="74">
        <v>646080.56000000006</v>
      </c>
      <c r="P48" s="75"/>
      <c r="Q48" s="74">
        <v>646080.56000000006</v>
      </c>
      <c r="R48" s="65" t="s">
        <v>285</v>
      </c>
    </row>
    <row r="49" spans="1:18" ht="79.5" customHeight="1" x14ac:dyDescent="0.25">
      <c r="A49" s="37" t="s">
        <v>79</v>
      </c>
      <c r="B49" s="56" t="s">
        <v>141</v>
      </c>
      <c r="C49" s="33" t="s">
        <v>57</v>
      </c>
      <c r="D49" s="15" t="s">
        <v>142</v>
      </c>
      <c r="E49" s="34">
        <v>34921</v>
      </c>
      <c r="F49" s="16"/>
      <c r="G49" s="25">
        <v>0</v>
      </c>
      <c r="H49" s="25">
        <v>2018</v>
      </c>
      <c r="I49" s="25">
        <v>2022</v>
      </c>
      <c r="J49" s="25" t="s">
        <v>65</v>
      </c>
      <c r="K49" s="76" t="s">
        <v>211</v>
      </c>
      <c r="L49" s="31">
        <f>M49+N49</f>
        <v>10348092.77</v>
      </c>
      <c r="M49" s="31">
        <f>574453.1+6510468.49</f>
        <v>7084921.5899999999</v>
      </c>
      <c r="N49" s="31">
        <f>3263171.18</f>
        <v>3263171.18</v>
      </c>
      <c r="O49" s="88">
        <f>P49+Q49</f>
        <v>9739379</v>
      </c>
      <c r="P49" s="88">
        <v>6217100.4500000002</v>
      </c>
      <c r="Q49" s="88">
        <v>3522278.55</v>
      </c>
      <c r="R49" s="21" t="s">
        <v>241</v>
      </c>
    </row>
    <row r="50" spans="1:18" ht="54" customHeight="1" x14ac:dyDescent="0.25">
      <c r="A50" s="37" t="s">
        <v>80</v>
      </c>
      <c r="B50" s="56" t="s">
        <v>143</v>
      </c>
      <c r="C50" s="29" t="s">
        <v>63</v>
      </c>
      <c r="D50" s="15" t="s">
        <v>138</v>
      </c>
      <c r="E50" s="25">
        <v>1</v>
      </c>
      <c r="F50" s="32"/>
      <c r="G50" s="25">
        <v>0</v>
      </c>
      <c r="H50" s="25">
        <v>2018</v>
      </c>
      <c r="I50" s="78">
        <v>2022</v>
      </c>
      <c r="J50" s="19" t="s">
        <v>65</v>
      </c>
      <c r="K50" s="25" t="s">
        <v>66</v>
      </c>
      <c r="L50" s="28">
        <v>127671</v>
      </c>
      <c r="M50" s="30"/>
      <c r="N50" s="28">
        <v>127671</v>
      </c>
      <c r="O50" s="74">
        <f>Q50</f>
        <v>78738.600000000006</v>
      </c>
      <c r="P50" s="89"/>
      <c r="Q50" s="74">
        <v>78738.600000000006</v>
      </c>
      <c r="R50" s="21" t="s">
        <v>251</v>
      </c>
    </row>
    <row r="51" spans="1:18" ht="55.5" customHeight="1" x14ac:dyDescent="0.25">
      <c r="A51" s="37" t="s">
        <v>81</v>
      </c>
      <c r="B51" s="65" t="s">
        <v>144</v>
      </c>
      <c r="C51" s="29" t="s">
        <v>63</v>
      </c>
      <c r="D51" s="15" t="s">
        <v>138</v>
      </c>
      <c r="E51" s="25">
        <v>1</v>
      </c>
      <c r="F51" s="32"/>
      <c r="G51" s="25">
        <v>0</v>
      </c>
      <c r="H51" s="25">
        <v>2017</v>
      </c>
      <c r="I51" s="25">
        <v>2022</v>
      </c>
      <c r="J51" s="25" t="s">
        <v>67</v>
      </c>
      <c r="K51" s="25" t="s">
        <v>66</v>
      </c>
      <c r="L51" s="28">
        <v>167800</v>
      </c>
      <c r="M51" s="29"/>
      <c r="N51" s="63">
        <v>167800</v>
      </c>
      <c r="O51" s="74">
        <f>67306.25</f>
        <v>67306.25</v>
      </c>
      <c r="P51" s="89"/>
      <c r="Q51" s="74">
        <f>O51</f>
        <v>67306.25</v>
      </c>
      <c r="R51" s="21" t="s">
        <v>279</v>
      </c>
    </row>
    <row r="52" spans="1:18" ht="81.75" customHeight="1" x14ac:dyDescent="0.25">
      <c r="A52" s="37" t="s">
        <v>82</v>
      </c>
      <c r="B52" s="58" t="s">
        <v>145</v>
      </c>
      <c r="C52" s="33" t="s">
        <v>57</v>
      </c>
      <c r="D52" s="15" t="s">
        <v>146</v>
      </c>
      <c r="E52" s="34">
        <v>42946</v>
      </c>
      <c r="F52" s="32"/>
      <c r="G52" s="34">
        <v>42946</v>
      </c>
      <c r="H52" s="25">
        <v>2017</v>
      </c>
      <c r="I52" s="25">
        <v>2020</v>
      </c>
      <c r="J52" s="84" t="s">
        <v>68</v>
      </c>
      <c r="K52" s="76" t="s">
        <v>212</v>
      </c>
      <c r="L52" s="31">
        <v>1908051.08</v>
      </c>
      <c r="M52" s="31">
        <f>143103.81+1621843.01</f>
        <v>1764946.82</v>
      </c>
      <c r="N52" s="31">
        <v>143104.26</v>
      </c>
      <c r="O52" s="74">
        <f>P52+Q52</f>
        <v>1908051.08</v>
      </c>
      <c r="P52" s="90">
        <f>1621843.01+143103.81</f>
        <v>1764946.82</v>
      </c>
      <c r="Q52" s="74">
        <v>143104.26</v>
      </c>
      <c r="R52" s="21" t="s">
        <v>263</v>
      </c>
    </row>
    <row r="53" spans="1:18" ht="37.5" x14ac:dyDescent="0.25">
      <c r="A53" s="37" t="s">
        <v>83</v>
      </c>
      <c r="B53" s="79" t="s">
        <v>147</v>
      </c>
      <c r="C53" s="33" t="s">
        <v>57</v>
      </c>
      <c r="D53" s="15" t="s">
        <v>146</v>
      </c>
      <c r="E53" s="35">
        <v>47247.5</v>
      </c>
      <c r="F53" s="16"/>
      <c r="G53" s="35">
        <v>47247.5</v>
      </c>
      <c r="H53" s="25">
        <v>2018</v>
      </c>
      <c r="I53" s="25">
        <v>2021</v>
      </c>
      <c r="J53" s="84" t="s">
        <v>68</v>
      </c>
      <c r="K53" s="76" t="s">
        <v>213</v>
      </c>
      <c r="L53" s="31">
        <f>M53+N53</f>
        <v>1697821.9100000001</v>
      </c>
      <c r="M53" s="31">
        <f>114473.91+1297370.86</f>
        <v>1411844.77</v>
      </c>
      <c r="N53" s="31">
        <v>285977.14</v>
      </c>
      <c r="O53" s="74">
        <f>P53+Q53</f>
        <v>1697821.9100000001</v>
      </c>
      <c r="P53" s="90">
        <f>1297370.86+114473.91</f>
        <v>1411844.77</v>
      </c>
      <c r="Q53" s="74">
        <v>285977.14</v>
      </c>
      <c r="R53" s="21" t="s">
        <v>250</v>
      </c>
    </row>
    <row r="54" spans="1:18" ht="79.5" customHeight="1" x14ac:dyDescent="0.25">
      <c r="A54" s="37" t="s">
        <v>84</v>
      </c>
      <c r="B54" s="57" t="s">
        <v>204</v>
      </c>
      <c r="C54" s="33" t="s">
        <v>57</v>
      </c>
      <c r="D54" s="15" t="s">
        <v>146</v>
      </c>
      <c r="E54" s="34">
        <v>41010</v>
      </c>
      <c r="F54" s="16"/>
      <c r="G54" s="25">
        <v>0</v>
      </c>
      <c r="H54" s="25">
        <v>2019</v>
      </c>
      <c r="I54" s="25">
        <v>2022</v>
      </c>
      <c r="J54" s="25" t="s">
        <v>67</v>
      </c>
      <c r="K54" s="76" t="s">
        <v>214</v>
      </c>
      <c r="L54" s="31">
        <f>M54+N54</f>
        <v>3088557.07</v>
      </c>
      <c r="M54" s="31">
        <f>196433.15+2226242.36</f>
        <v>2422675.5099999998</v>
      </c>
      <c r="N54" s="31">
        <v>665881.56000000006</v>
      </c>
      <c r="O54" s="74">
        <f>P54+Q54</f>
        <v>3087936.92</v>
      </c>
      <c r="P54" s="90">
        <f>2225948.17+196407.19</f>
        <v>2422355.36</v>
      </c>
      <c r="Q54" s="74">
        <f>665881.56-300</f>
        <v>665581.56000000006</v>
      </c>
      <c r="R54" s="91" t="s">
        <v>283</v>
      </c>
    </row>
    <row r="55" spans="1:18" ht="51.75" customHeight="1" x14ac:dyDescent="0.25">
      <c r="A55" s="37" t="s">
        <v>85</v>
      </c>
      <c r="B55" s="59" t="s">
        <v>149</v>
      </c>
      <c r="C55" s="29" t="s">
        <v>61</v>
      </c>
      <c r="D55" s="27" t="s">
        <v>136</v>
      </c>
      <c r="E55" s="35">
        <v>0.44</v>
      </c>
      <c r="F55" s="16"/>
      <c r="G55" s="25">
        <v>0.44</v>
      </c>
      <c r="H55" s="25">
        <v>2017</v>
      </c>
      <c r="I55" s="25">
        <v>2020</v>
      </c>
      <c r="J55" s="84" t="s">
        <v>68</v>
      </c>
      <c r="K55" s="25" t="s">
        <v>66</v>
      </c>
      <c r="L55" s="31">
        <f>1373700+1443800</f>
        <v>2817500</v>
      </c>
      <c r="M55" s="31"/>
      <c r="N55" s="31">
        <f>L55</f>
        <v>2817500</v>
      </c>
      <c r="O55" s="74">
        <f>N55</f>
        <v>2817500</v>
      </c>
      <c r="P55" s="89"/>
      <c r="Q55" s="74">
        <f>O55</f>
        <v>2817500</v>
      </c>
      <c r="R55" s="21" t="s">
        <v>234</v>
      </c>
    </row>
    <row r="56" spans="1:18" ht="72.75" customHeight="1" x14ac:dyDescent="0.25">
      <c r="A56" s="37" t="s">
        <v>86</v>
      </c>
      <c r="B56" s="59" t="s">
        <v>148</v>
      </c>
      <c r="C56" s="29" t="s">
        <v>59</v>
      </c>
      <c r="D56" s="27" t="s">
        <v>134</v>
      </c>
      <c r="E56" s="39">
        <v>4</v>
      </c>
      <c r="F56" s="40"/>
      <c r="G56" s="39">
        <v>4</v>
      </c>
      <c r="H56" s="25">
        <v>2018</v>
      </c>
      <c r="I56" s="25">
        <v>2021</v>
      </c>
      <c r="J56" s="84" t="s">
        <v>68</v>
      </c>
      <c r="K56" s="25" t="s">
        <v>215</v>
      </c>
      <c r="L56" s="74">
        <f>M56+N56</f>
        <v>1390522.69</v>
      </c>
      <c r="M56" s="74">
        <f>1014142.61</f>
        <v>1014142.61</v>
      </c>
      <c r="N56" s="77">
        <f>376380.08</f>
        <v>376380.08</v>
      </c>
      <c r="O56" s="90">
        <f>P56+Q56</f>
        <v>1390522.69</v>
      </c>
      <c r="P56" s="90">
        <f>1014142.61</f>
        <v>1014142.61</v>
      </c>
      <c r="Q56" s="90">
        <v>376380.08</v>
      </c>
      <c r="R56" s="21" t="s">
        <v>284</v>
      </c>
    </row>
    <row r="57" spans="1:18" ht="74.25" customHeight="1" x14ac:dyDescent="0.25">
      <c r="A57" s="37" t="s">
        <v>87</v>
      </c>
      <c r="B57" s="36" t="s">
        <v>150</v>
      </c>
      <c r="C57" s="29" t="s">
        <v>63</v>
      </c>
      <c r="D57" s="15" t="s">
        <v>151</v>
      </c>
      <c r="E57" s="34">
        <v>1</v>
      </c>
      <c r="F57" s="42"/>
      <c r="G57" s="34">
        <v>0</v>
      </c>
      <c r="H57" s="25">
        <v>2017</v>
      </c>
      <c r="I57" s="25">
        <v>2023</v>
      </c>
      <c r="J57" s="25" t="s">
        <v>67</v>
      </c>
      <c r="K57" s="25" t="s">
        <v>66</v>
      </c>
      <c r="L57" s="28">
        <v>200000</v>
      </c>
      <c r="M57" s="31"/>
      <c r="N57" s="28">
        <v>200000</v>
      </c>
      <c r="O57" s="86">
        <v>20000</v>
      </c>
      <c r="P57" s="92"/>
      <c r="Q57" s="86">
        <v>20000</v>
      </c>
      <c r="R57" s="21" t="s">
        <v>280</v>
      </c>
    </row>
    <row r="58" spans="1:18" ht="64.5" customHeight="1" x14ac:dyDescent="0.25">
      <c r="A58" s="37" t="s">
        <v>88</v>
      </c>
      <c r="B58" s="59" t="s">
        <v>152</v>
      </c>
      <c r="C58" s="29" t="s">
        <v>64</v>
      </c>
      <c r="D58" s="15" t="s">
        <v>139</v>
      </c>
      <c r="E58" s="34">
        <v>1</v>
      </c>
      <c r="F58" s="42"/>
      <c r="G58" s="34">
        <v>1</v>
      </c>
      <c r="H58" s="25">
        <v>2020</v>
      </c>
      <c r="I58" s="25">
        <v>2021</v>
      </c>
      <c r="J58" s="25" t="s">
        <v>67</v>
      </c>
      <c r="K58" s="25" t="s">
        <v>66</v>
      </c>
      <c r="L58" s="28">
        <v>12000</v>
      </c>
      <c r="M58" s="31"/>
      <c r="N58" s="28">
        <v>12000</v>
      </c>
      <c r="O58" s="74">
        <v>11999</v>
      </c>
      <c r="P58" s="89"/>
      <c r="Q58" s="74">
        <v>11999</v>
      </c>
      <c r="R58" s="21" t="s">
        <v>252</v>
      </c>
    </row>
    <row r="59" spans="1:18" ht="91.5" customHeight="1" x14ac:dyDescent="0.25">
      <c r="A59" s="37" t="s">
        <v>89</v>
      </c>
      <c r="B59" s="59" t="s">
        <v>156</v>
      </c>
      <c r="C59" s="29" t="s">
        <v>59</v>
      </c>
      <c r="D59" s="27" t="s">
        <v>134</v>
      </c>
      <c r="E59" s="34">
        <v>1</v>
      </c>
      <c r="F59" s="16"/>
      <c r="G59" s="25">
        <v>1</v>
      </c>
      <c r="H59" s="25">
        <v>2016</v>
      </c>
      <c r="I59" s="25">
        <v>2018</v>
      </c>
      <c r="J59" s="84" t="s">
        <v>68</v>
      </c>
      <c r="K59" s="25" t="s">
        <v>66</v>
      </c>
      <c r="L59" s="31">
        <v>4826435</v>
      </c>
      <c r="M59" s="31"/>
      <c r="N59" s="31">
        <v>4826435</v>
      </c>
      <c r="O59" s="74">
        <v>4826435</v>
      </c>
      <c r="P59" s="89"/>
      <c r="Q59" s="74">
        <v>4826435</v>
      </c>
      <c r="R59" s="21" t="s">
        <v>233</v>
      </c>
    </row>
    <row r="60" spans="1:18" ht="77.25" customHeight="1" x14ac:dyDescent="0.25">
      <c r="A60" s="37" t="s">
        <v>90</v>
      </c>
      <c r="B60" s="60" t="s">
        <v>153</v>
      </c>
      <c r="C60" s="29" t="s">
        <v>62</v>
      </c>
      <c r="D60" s="27" t="s">
        <v>69</v>
      </c>
      <c r="E60" s="34">
        <v>1</v>
      </c>
      <c r="F60" s="16"/>
      <c r="G60" s="25">
        <v>0</v>
      </c>
      <c r="H60" s="25">
        <v>2020</v>
      </c>
      <c r="I60" s="25">
        <v>2022</v>
      </c>
      <c r="J60" s="25" t="s">
        <v>67</v>
      </c>
      <c r="K60" s="25" t="s">
        <v>127</v>
      </c>
      <c r="L60" s="31">
        <v>23990642.98</v>
      </c>
      <c r="M60" s="31">
        <f>20340642.98+3650000</f>
        <v>23990642.98</v>
      </c>
      <c r="N60" s="29"/>
      <c r="O60" s="74">
        <v>20583070</v>
      </c>
      <c r="P60" s="90">
        <v>20583070</v>
      </c>
      <c r="Q60" s="78"/>
      <c r="R60" s="21" t="s">
        <v>253</v>
      </c>
    </row>
    <row r="61" spans="1:18" ht="36" x14ac:dyDescent="0.25">
      <c r="A61" s="37" t="s">
        <v>91</v>
      </c>
      <c r="B61" s="59" t="s">
        <v>154</v>
      </c>
      <c r="C61" s="29" t="s">
        <v>58</v>
      </c>
      <c r="D61" s="27" t="s">
        <v>133</v>
      </c>
      <c r="E61" s="35">
        <v>0.39</v>
      </c>
      <c r="F61" s="16"/>
      <c r="G61" s="25">
        <v>0.39</v>
      </c>
      <c r="H61" s="25">
        <v>2020</v>
      </c>
      <c r="I61" s="25">
        <v>2021</v>
      </c>
      <c r="J61" s="84" t="s">
        <v>68</v>
      </c>
      <c r="K61" s="25" t="s">
        <v>216</v>
      </c>
      <c r="L61" s="31">
        <f>M61+N61</f>
        <v>2078566.4500000002</v>
      </c>
      <c r="M61" s="31">
        <v>1537677.54</v>
      </c>
      <c r="N61" s="31">
        <v>540888.91</v>
      </c>
      <c r="O61" s="74">
        <f>P61+Q61</f>
        <v>2078566.4500000002</v>
      </c>
      <c r="P61" s="90">
        <f>1537677.54</f>
        <v>1537677.54</v>
      </c>
      <c r="Q61" s="90">
        <v>540888.91</v>
      </c>
      <c r="R61" s="21" t="s">
        <v>257</v>
      </c>
    </row>
    <row r="62" spans="1:18" ht="51.75" customHeight="1" x14ac:dyDescent="0.25">
      <c r="A62" s="75" t="s">
        <v>92</v>
      </c>
      <c r="B62" s="66" t="s">
        <v>207</v>
      </c>
      <c r="C62" s="29" t="s">
        <v>58</v>
      </c>
      <c r="D62" s="27" t="s">
        <v>133</v>
      </c>
      <c r="E62" s="43">
        <v>0.33800000000000002</v>
      </c>
      <c r="F62" s="44"/>
      <c r="G62" s="39">
        <v>0</v>
      </c>
      <c r="H62" s="25">
        <v>2020</v>
      </c>
      <c r="I62" s="25">
        <v>2023</v>
      </c>
      <c r="J62" s="25" t="s">
        <v>67</v>
      </c>
      <c r="K62" s="76" t="s">
        <v>217</v>
      </c>
      <c r="L62" s="31">
        <v>767460</v>
      </c>
      <c r="M62" s="31">
        <v>500000</v>
      </c>
      <c r="N62" s="31">
        <v>267460</v>
      </c>
      <c r="O62" s="74">
        <f>P62+Q62</f>
        <v>272868.54000000004</v>
      </c>
      <c r="P62" s="90">
        <v>134177.07</v>
      </c>
      <c r="Q62" s="90">
        <f>21650.56+89600+27440.91</f>
        <v>138691.47</v>
      </c>
      <c r="R62" s="21" t="s">
        <v>254</v>
      </c>
    </row>
    <row r="63" spans="1:18" x14ac:dyDescent="0.25">
      <c r="A63" s="108" t="s">
        <v>197</v>
      </c>
      <c r="B63" s="109"/>
      <c r="C63" s="109"/>
      <c r="D63" s="109"/>
      <c r="E63" s="109"/>
      <c r="F63" s="109"/>
      <c r="G63" s="109"/>
      <c r="H63" s="109"/>
      <c r="I63" s="109"/>
      <c r="J63" s="109"/>
      <c r="K63" s="110"/>
      <c r="L63" s="62">
        <f>SUM(L48:L62)</f>
        <v>54374255.200000003</v>
      </c>
      <c r="M63" s="62">
        <f>SUM(M48:M62)</f>
        <v>39726851.82</v>
      </c>
      <c r="N63" s="62">
        <f>SUM(N48:N62)</f>
        <v>14647403.379999999</v>
      </c>
      <c r="O63" s="62">
        <f>SUM(O51:O62)</f>
        <v>38762077.840000004</v>
      </c>
      <c r="P63" s="62">
        <f>SUM(P48:P62)</f>
        <v>35085314.619999997</v>
      </c>
      <c r="Q63" s="62">
        <f>SUM(Q48:Q62)</f>
        <v>14140961.380000001</v>
      </c>
      <c r="R63" s="21"/>
    </row>
    <row r="64" spans="1:18" ht="98.25" customHeight="1" x14ac:dyDescent="0.25">
      <c r="A64" s="37" t="s">
        <v>70</v>
      </c>
      <c r="B64" s="14" t="s">
        <v>155</v>
      </c>
      <c r="C64" s="29" t="s">
        <v>71</v>
      </c>
      <c r="D64" s="55" t="s">
        <v>157</v>
      </c>
      <c r="E64" s="29">
        <v>32</v>
      </c>
      <c r="F64" s="29">
        <v>33</v>
      </c>
      <c r="G64" s="78">
        <v>5</v>
      </c>
      <c r="H64" s="16"/>
      <c r="I64" s="16"/>
      <c r="J64" s="16"/>
      <c r="K64" s="16"/>
      <c r="L64" s="16"/>
      <c r="M64" s="16"/>
      <c r="N64" s="16"/>
      <c r="O64" s="16"/>
      <c r="P64" s="16"/>
      <c r="Q64" s="16"/>
      <c r="R64" s="65" t="s">
        <v>235</v>
      </c>
    </row>
    <row r="65" spans="1:18" ht="48" customHeight="1" x14ac:dyDescent="0.25">
      <c r="A65" s="17"/>
      <c r="B65" s="17"/>
      <c r="C65" s="29" t="s">
        <v>72</v>
      </c>
      <c r="D65" s="15" t="s">
        <v>158</v>
      </c>
      <c r="E65" s="45">
        <v>1.401</v>
      </c>
      <c r="F65" s="45">
        <v>1.401</v>
      </c>
      <c r="G65" s="45">
        <v>1.401</v>
      </c>
      <c r="H65" s="16"/>
      <c r="I65" s="16"/>
      <c r="J65" s="16"/>
      <c r="K65" s="16"/>
      <c r="L65" s="16"/>
      <c r="M65" s="16"/>
      <c r="N65" s="16"/>
      <c r="O65" s="16"/>
      <c r="P65" s="16"/>
      <c r="Q65" s="16"/>
      <c r="R65" s="18" t="s">
        <v>267</v>
      </c>
    </row>
    <row r="66" spans="1:18" ht="43.5" customHeight="1" x14ac:dyDescent="0.25">
      <c r="A66" s="17"/>
      <c r="B66" s="17"/>
      <c r="C66" s="29" t="s">
        <v>73</v>
      </c>
      <c r="D66" s="27" t="s">
        <v>198</v>
      </c>
      <c r="E66" s="29">
        <v>1.54</v>
      </c>
      <c r="F66" s="29">
        <v>1.54</v>
      </c>
      <c r="G66" s="29">
        <v>1.54</v>
      </c>
      <c r="H66" s="16"/>
      <c r="I66" s="16"/>
      <c r="J66" s="16"/>
      <c r="K66" s="16"/>
      <c r="L66" s="16"/>
      <c r="M66" s="16"/>
      <c r="N66" s="16"/>
      <c r="O66" s="16"/>
      <c r="P66" s="16"/>
      <c r="Q66" s="16"/>
      <c r="R66" s="18" t="s">
        <v>269</v>
      </c>
    </row>
    <row r="67" spans="1:18" ht="37.5" customHeight="1" x14ac:dyDescent="0.25">
      <c r="A67" s="17"/>
      <c r="B67" s="17"/>
      <c r="C67" s="29" t="s">
        <v>74</v>
      </c>
      <c r="D67" s="27" t="s">
        <v>159</v>
      </c>
      <c r="E67" s="29">
        <v>2</v>
      </c>
      <c r="F67" s="29">
        <v>0</v>
      </c>
      <c r="G67" s="29">
        <v>0</v>
      </c>
      <c r="H67" s="16"/>
      <c r="I67" s="16"/>
      <c r="J67" s="16"/>
      <c r="K67" s="16"/>
      <c r="L67" s="16"/>
      <c r="M67" s="16"/>
      <c r="N67" s="16"/>
      <c r="O67" s="16"/>
      <c r="P67" s="16"/>
      <c r="Q67" s="16"/>
      <c r="R67" s="18"/>
    </row>
    <row r="68" spans="1:18" ht="45" customHeight="1" x14ac:dyDescent="0.25">
      <c r="A68" s="17"/>
      <c r="B68" s="17"/>
      <c r="C68" s="29" t="s">
        <v>75</v>
      </c>
      <c r="D68" s="27" t="s">
        <v>160</v>
      </c>
      <c r="E68" s="29">
        <v>8</v>
      </c>
      <c r="F68" s="29">
        <v>8</v>
      </c>
      <c r="G68" s="78">
        <v>8</v>
      </c>
      <c r="H68" s="16"/>
      <c r="I68" s="16"/>
      <c r="J68" s="16"/>
      <c r="K68" s="16"/>
      <c r="L68" s="16"/>
      <c r="M68" s="16"/>
      <c r="N68" s="16"/>
      <c r="O68" s="16"/>
      <c r="P68" s="16"/>
      <c r="Q68" s="16"/>
      <c r="R68" s="18" t="s">
        <v>268</v>
      </c>
    </row>
    <row r="69" spans="1:18" ht="52.5" customHeight="1" x14ac:dyDescent="0.25">
      <c r="A69" s="17"/>
      <c r="B69" s="17"/>
      <c r="C69" s="29" t="s">
        <v>77</v>
      </c>
      <c r="D69" s="27" t="s">
        <v>161</v>
      </c>
      <c r="E69" s="29">
        <v>40</v>
      </c>
      <c r="F69" s="29">
        <v>30</v>
      </c>
      <c r="G69" s="78">
        <v>30</v>
      </c>
      <c r="H69" s="16"/>
      <c r="I69" s="16"/>
      <c r="J69" s="16"/>
      <c r="K69" s="16"/>
      <c r="L69" s="16"/>
      <c r="M69" s="16"/>
      <c r="N69" s="16"/>
      <c r="O69" s="16"/>
      <c r="P69" s="16"/>
      <c r="Q69" s="16"/>
      <c r="R69" s="18" t="s">
        <v>262</v>
      </c>
    </row>
    <row r="70" spans="1:18" ht="81.75" customHeight="1" x14ac:dyDescent="0.25">
      <c r="A70" s="17"/>
      <c r="B70" s="17"/>
      <c r="C70" s="29" t="s">
        <v>76</v>
      </c>
      <c r="D70" s="27" t="s">
        <v>162</v>
      </c>
      <c r="E70" s="29">
        <v>1422.8</v>
      </c>
      <c r="F70" s="29">
        <v>0</v>
      </c>
      <c r="G70" s="29">
        <v>0</v>
      </c>
      <c r="H70" s="16"/>
      <c r="I70" s="16"/>
      <c r="J70" s="16"/>
      <c r="K70" s="16"/>
      <c r="L70" s="16"/>
      <c r="M70" s="16"/>
      <c r="N70" s="16"/>
      <c r="O70" s="16"/>
      <c r="P70" s="16"/>
      <c r="Q70" s="16"/>
      <c r="R70" s="18"/>
    </row>
    <row r="71" spans="1:18" ht="62.25" customHeight="1" x14ac:dyDescent="0.25">
      <c r="A71" s="75" t="s">
        <v>78</v>
      </c>
      <c r="B71" s="65" t="s">
        <v>163</v>
      </c>
      <c r="C71" s="29" t="s">
        <v>72</v>
      </c>
      <c r="D71" s="15" t="s">
        <v>158</v>
      </c>
      <c r="E71" s="25">
        <v>1.401</v>
      </c>
      <c r="F71" s="16"/>
      <c r="G71" s="49">
        <v>1.401</v>
      </c>
      <c r="H71" s="25">
        <v>2018</v>
      </c>
      <c r="I71" s="25">
        <v>2022</v>
      </c>
      <c r="J71" s="25" t="s">
        <v>67</v>
      </c>
      <c r="K71" s="76" t="s">
        <v>218</v>
      </c>
      <c r="L71" s="35">
        <v>6962779.4500000002</v>
      </c>
      <c r="M71" s="35">
        <v>1980601.25</v>
      </c>
      <c r="N71" s="31">
        <f>1072178.2+3910000</f>
        <v>4982178.2</v>
      </c>
      <c r="O71" s="74">
        <f>P71+Q71</f>
        <v>6962779.4500000002</v>
      </c>
      <c r="P71" s="93">
        <v>1980601.25</v>
      </c>
      <c r="Q71" s="74">
        <f>N71</f>
        <v>4982178.2</v>
      </c>
      <c r="R71" s="21" t="s">
        <v>259</v>
      </c>
    </row>
    <row r="72" spans="1:18" ht="60.75" customHeight="1" x14ac:dyDescent="0.25">
      <c r="A72" s="75" t="s">
        <v>93</v>
      </c>
      <c r="B72" s="58" t="s">
        <v>164</v>
      </c>
      <c r="C72" s="29" t="s">
        <v>73</v>
      </c>
      <c r="D72" s="27" t="s">
        <v>165</v>
      </c>
      <c r="E72" s="35">
        <v>1.54</v>
      </c>
      <c r="F72" s="16"/>
      <c r="G72" s="49">
        <v>1.54</v>
      </c>
      <c r="H72" s="25">
        <v>2018</v>
      </c>
      <c r="I72" s="25">
        <v>2020</v>
      </c>
      <c r="J72" s="84" t="s">
        <v>68</v>
      </c>
      <c r="K72" s="76" t="s">
        <v>219</v>
      </c>
      <c r="L72" s="31">
        <v>602550</v>
      </c>
      <c r="M72" s="31">
        <v>357368</v>
      </c>
      <c r="N72" s="31">
        <v>245182</v>
      </c>
      <c r="O72" s="94">
        <f>P72+Q72</f>
        <v>602550</v>
      </c>
      <c r="P72" s="95">
        <v>357368</v>
      </c>
      <c r="Q72" s="74">
        <v>245182</v>
      </c>
      <c r="R72" s="21" t="s">
        <v>258</v>
      </c>
    </row>
    <row r="73" spans="1:18" ht="75" customHeight="1" x14ac:dyDescent="0.25">
      <c r="A73" s="37" t="s">
        <v>94</v>
      </c>
      <c r="B73" s="14" t="s">
        <v>166</v>
      </c>
      <c r="C73" s="29" t="s">
        <v>74</v>
      </c>
      <c r="D73" s="27" t="s">
        <v>159</v>
      </c>
      <c r="E73" s="25">
        <v>2</v>
      </c>
      <c r="F73" s="32"/>
      <c r="G73" s="25">
        <v>0</v>
      </c>
      <c r="H73" s="25">
        <v>2021</v>
      </c>
      <c r="I73" s="25">
        <v>2023</v>
      </c>
      <c r="J73" s="76" t="s">
        <v>67</v>
      </c>
      <c r="K73" s="25" t="s">
        <v>220</v>
      </c>
      <c r="L73" s="31">
        <v>3552521.08</v>
      </c>
      <c r="M73" s="31">
        <v>1359046.2</v>
      </c>
      <c r="N73" s="28">
        <f>843621.04+1349853.84</f>
        <v>2193474.88</v>
      </c>
      <c r="O73" s="74">
        <f>P73+Q73</f>
        <v>518367.42</v>
      </c>
      <c r="P73" s="96">
        <v>312667.42</v>
      </c>
      <c r="Q73" s="74">
        <f>100000+40800+500+64400</f>
        <v>205700</v>
      </c>
      <c r="R73" s="21" t="s">
        <v>249</v>
      </c>
    </row>
    <row r="74" spans="1:18" ht="67.5" customHeight="1" x14ac:dyDescent="0.25">
      <c r="A74" s="37" t="s">
        <v>95</v>
      </c>
      <c r="B74" s="58" t="s">
        <v>167</v>
      </c>
      <c r="C74" s="29" t="s">
        <v>75</v>
      </c>
      <c r="D74" s="27" t="s">
        <v>168</v>
      </c>
      <c r="E74" s="25">
        <v>8</v>
      </c>
      <c r="F74" s="32"/>
      <c r="G74" s="49">
        <v>8</v>
      </c>
      <c r="H74" s="25">
        <v>2017</v>
      </c>
      <c r="I74" s="25">
        <v>2021</v>
      </c>
      <c r="J74" s="83" t="s">
        <v>68</v>
      </c>
      <c r="K74" s="25" t="s">
        <v>221</v>
      </c>
      <c r="L74" s="31">
        <f>M74+N74</f>
        <v>1637505.92</v>
      </c>
      <c r="M74" s="31">
        <v>1391880.03</v>
      </c>
      <c r="N74" s="46">
        <v>245625.89</v>
      </c>
      <c r="O74" s="74">
        <f>+P74+Q74</f>
        <v>1637505.92</v>
      </c>
      <c r="P74" s="97">
        <v>1391880.03</v>
      </c>
      <c r="Q74" s="98">
        <v>245625.89</v>
      </c>
      <c r="R74" s="21" t="s">
        <v>260</v>
      </c>
    </row>
    <row r="75" spans="1:18" ht="81" customHeight="1" x14ac:dyDescent="0.25">
      <c r="A75" s="37" t="s">
        <v>96</v>
      </c>
      <c r="B75" s="56" t="s">
        <v>199</v>
      </c>
      <c r="C75" s="41" t="s">
        <v>76</v>
      </c>
      <c r="D75" s="27" t="s">
        <v>162</v>
      </c>
      <c r="E75" s="85">
        <v>1422.8</v>
      </c>
      <c r="F75" s="32"/>
      <c r="G75" s="35">
        <v>0</v>
      </c>
      <c r="H75" s="25">
        <v>2017</v>
      </c>
      <c r="I75" s="78">
        <v>2022</v>
      </c>
      <c r="J75" s="25" t="s">
        <v>67</v>
      </c>
      <c r="K75" s="35" t="s">
        <v>222</v>
      </c>
      <c r="L75" s="31">
        <v>10189393.35</v>
      </c>
      <c r="M75" s="31">
        <v>8013308.6500000004</v>
      </c>
      <c r="N75" s="31">
        <v>2176084.7000000002</v>
      </c>
      <c r="O75" s="74">
        <f>P75+Q75</f>
        <v>9975323.790000001</v>
      </c>
      <c r="P75" s="74">
        <v>7903086.4800000004</v>
      </c>
      <c r="Q75" s="74">
        <v>2072237.31</v>
      </c>
      <c r="R75" s="21" t="s">
        <v>248</v>
      </c>
    </row>
    <row r="76" spans="1:18" ht="16.5" customHeight="1" x14ac:dyDescent="0.25">
      <c r="A76" s="108" t="s">
        <v>208</v>
      </c>
      <c r="B76" s="109"/>
      <c r="C76" s="109"/>
      <c r="D76" s="109"/>
      <c r="E76" s="109"/>
      <c r="F76" s="109"/>
      <c r="G76" s="109"/>
      <c r="H76" s="109"/>
      <c r="I76" s="109"/>
      <c r="J76" s="109"/>
      <c r="K76" s="110"/>
      <c r="L76" s="62">
        <f t="shared" ref="L76:Q76" si="0">SUM(L71:L75)</f>
        <v>22944749.800000001</v>
      </c>
      <c r="M76" s="62">
        <f t="shared" si="0"/>
        <v>13102204.130000001</v>
      </c>
      <c r="N76" s="62">
        <f t="shared" si="0"/>
        <v>9842545.6699999999</v>
      </c>
      <c r="O76" s="62">
        <f t="shared" si="0"/>
        <v>19696526.579999998</v>
      </c>
      <c r="P76" s="62">
        <f>SUM(P71:P75)</f>
        <v>11945603.18</v>
      </c>
      <c r="Q76" s="62">
        <f t="shared" si="0"/>
        <v>7750923.4000000004</v>
      </c>
      <c r="R76" s="21"/>
    </row>
    <row r="77" spans="1:18" ht="46.5" customHeight="1" x14ac:dyDescent="0.25">
      <c r="A77" s="37" t="s">
        <v>97</v>
      </c>
      <c r="B77" s="14" t="s">
        <v>169</v>
      </c>
      <c r="C77" s="29" t="s">
        <v>98</v>
      </c>
      <c r="D77" s="64" t="s">
        <v>170</v>
      </c>
      <c r="E77" s="28">
        <v>1290</v>
      </c>
      <c r="F77" s="28">
        <v>1320</v>
      </c>
      <c r="G77" s="86">
        <v>1126</v>
      </c>
      <c r="H77" s="16"/>
      <c r="I77" s="16"/>
      <c r="J77" s="16"/>
      <c r="K77" s="16"/>
      <c r="L77" s="16"/>
      <c r="M77" s="16"/>
      <c r="N77" s="16"/>
      <c r="O77" s="16"/>
      <c r="P77" s="16"/>
      <c r="Q77" s="16"/>
      <c r="R77" s="65" t="s">
        <v>236</v>
      </c>
    </row>
    <row r="78" spans="1:18" ht="48.75" customHeight="1" x14ac:dyDescent="0.25">
      <c r="A78" s="17"/>
      <c r="B78" s="17"/>
      <c r="C78" s="29" t="s">
        <v>99</v>
      </c>
      <c r="D78" s="15" t="s">
        <v>171</v>
      </c>
      <c r="E78" s="47">
        <v>323185.5</v>
      </c>
      <c r="F78" s="47">
        <v>62996.5</v>
      </c>
      <c r="G78" s="87">
        <v>62996.5</v>
      </c>
      <c r="H78" s="16"/>
      <c r="I78" s="16"/>
      <c r="J78" s="16"/>
      <c r="K78" s="16"/>
      <c r="L78" s="16"/>
      <c r="M78" s="16"/>
      <c r="N78" s="16"/>
      <c r="O78" s="16"/>
      <c r="P78" s="16"/>
      <c r="Q78" s="16"/>
      <c r="R78" s="18" t="s">
        <v>270</v>
      </c>
    </row>
    <row r="79" spans="1:18" ht="72.75" customHeight="1" x14ac:dyDescent="0.25">
      <c r="A79" s="17"/>
      <c r="B79" s="17"/>
      <c r="C79" s="29" t="s">
        <v>100</v>
      </c>
      <c r="D79" s="27" t="s">
        <v>178</v>
      </c>
      <c r="E79" s="47">
        <v>11180.9</v>
      </c>
      <c r="F79" s="47">
        <v>11180.9</v>
      </c>
      <c r="G79" s="31">
        <v>11180.99</v>
      </c>
      <c r="H79" s="16"/>
      <c r="I79" s="16"/>
      <c r="J79" s="16"/>
      <c r="K79" s="16"/>
      <c r="L79" s="16"/>
      <c r="M79" s="16"/>
      <c r="N79" s="16"/>
      <c r="O79" s="16"/>
      <c r="P79" s="16"/>
      <c r="Q79" s="16"/>
      <c r="R79" s="18" t="s">
        <v>271</v>
      </c>
    </row>
    <row r="80" spans="1:18" ht="65.25" customHeight="1" x14ac:dyDescent="0.25">
      <c r="A80" s="17"/>
      <c r="B80" s="17"/>
      <c r="C80" s="29" t="s">
        <v>101</v>
      </c>
      <c r="D80" s="27" t="s">
        <v>182</v>
      </c>
      <c r="E80" s="28">
        <v>9600</v>
      </c>
      <c r="F80" s="28">
        <v>0</v>
      </c>
      <c r="G80" s="28">
        <v>0</v>
      </c>
      <c r="H80" s="16"/>
      <c r="I80" s="16"/>
      <c r="J80" s="16"/>
      <c r="K80" s="16"/>
      <c r="L80" s="16"/>
      <c r="M80" s="16"/>
      <c r="N80" s="16"/>
      <c r="O80" s="16"/>
      <c r="P80" s="16"/>
      <c r="Q80" s="16"/>
      <c r="R80" s="18"/>
    </row>
    <row r="81" spans="1:18" ht="49.5" customHeight="1" x14ac:dyDescent="0.25">
      <c r="A81" s="17"/>
      <c r="B81" s="17"/>
      <c r="C81" s="29" t="s">
        <v>102</v>
      </c>
      <c r="D81" s="27" t="s">
        <v>172</v>
      </c>
      <c r="E81" s="29">
        <v>2</v>
      </c>
      <c r="F81" s="29">
        <v>1</v>
      </c>
      <c r="G81" s="78">
        <v>1</v>
      </c>
      <c r="H81" s="16"/>
      <c r="I81" s="16"/>
      <c r="J81" s="16"/>
      <c r="K81" s="16"/>
      <c r="L81" s="16"/>
      <c r="M81" s="16"/>
      <c r="N81" s="16"/>
      <c r="O81" s="16"/>
      <c r="P81" s="16"/>
      <c r="Q81" s="16"/>
      <c r="R81" s="18" t="s">
        <v>202</v>
      </c>
    </row>
    <row r="82" spans="1:18" ht="49.5" customHeight="1" x14ac:dyDescent="0.25">
      <c r="A82" s="17"/>
      <c r="B82" s="17"/>
      <c r="C82" s="29" t="s">
        <v>103</v>
      </c>
      <c r="D82" s="27" t="s">
        <v>200</v>
      </c>
      <c r="E82" s="48">
        <v>100</v>
      </c>
      <c r="F82" s="29">
        <v>50</v>
      </c>
      <c r="G82" s="29">
        <v>50</v>
      </c>
      <c r="H82" s="16"/>
      <c r="I82" s="16"/>
      <c r="J82" s="16"/>
      <c r="K82" s="16"/>
      <c r="L82" s="16"/>
      <c r="M82" s="16"/>
      <c r="N82" s="16"/>
      <c r="O82" s="16"/>
      <c r="P82" s="16"/>
      <c r="Q82" s="16"/>
      <c r="R82" s="18" t="s">
        <v>203</v>
      </c>
    </row>
    <row r="83" spans="1:18" ht="54.75" customHeight="1" x14ac:dyDescent="0.25">
      <c r="A83" s="17"/>
      <c r="B83" s="17"/>
      <c r="C83" s="29" t="s">
        <v>104</v>
      </c>
      <c r="D83" s="27" t="s">
        <v>201</v>
      </c>
      <c r="E83" s="29">
        <v>800</v>
      </c>
      <c r="F83" s="29">
        <v>800</v>
      </c>
      <c r="G83" s="78">
        <v>800</v>
      </c>
      <c r="H83" s="16"/>
      <c r="I83" s="16"/>
      <c r="J83" s="16"/>
      <c r="K83" s="16"/>
      <c r="L83" s="16"/>
      <c r="M83" s="16"/>
      <c r="N83" s="16"/>
      <c r="O83" s="16"/>
      <c r="P83" s="16"/>
      <c r="Q83" s="16"/>
      <c r="R83" s="18"/>
    </row>
    <row r="84" spans="1:18" ht="43.5" customHeight="1" x14ac:dyDescent="0.25">
      <c r="A84" s="17"/>
      <c r="B84" s="17"/>
      <c r="C84" s="29" t="s">
        <v>105</v>
      </c>
      <c r="D84" s="27" t="s">
        <v>133</v>
      </c>
      <c r="E84" s="29">
        <v>0.8</v>
      </c>
      <c r="F84" s="29">
        <v>0</v>
      </c>
      <c r="G84" s="29">
        <v>0</v>
      </c>
      <c r="H84" s="16"/>
      <c r="I84" s="16"/>
      <c r="J84" s="16"/>
      <c r="K84" s="16"/>
      <c r="L84" s="16"/>
      <c r="M84" s="16"/>
      <c r="N84" s="16"/>
      <c r="O84" s="16"/>
      <c r="P84" s="16"/>
      <c r="Q84" s="16"/>
      <c r="R84" s="18"/>
    </row>
    <row r="85" spans="1:18" ht="48.75" customHeight="1" x14ac:dyDescent="0.25">
      <c r="A85" s="17"/>
      <c r="B85" s="17"/>
      <c r="C85" s="29" t="s">
        <v>106</v>
      </c>
      <c r="D85" s="27" t="s">
        <v>135</v>
      </c>
      <c r="E85" s="28">
        <v>5012</v>
      </c>
      <c r="F85" s="29">
        <v>0</v>
      </c>
      <c r="G85" s="29">
        <v>0</v>
      </c>
      <c r="H85" s="16"/>
      <c r="I85" s="16"/>
      <c r="J85" s="16"/>
      <c r="K85" s="16"/>
      <c r="L85" s="16"/>
      <c r="M85" s="16"/>
      <c r="N85" s="16"/>
      <c r="O85" s="16"/>
      <c r="P85" s="16"/>
      <c r="Q85" s="16"/>
      <c r="R85" s="18"/>
    </row>
    <row r="86" spans="1:18" ht="40.5" customHeight="1" x14ac:dyDescent="0.25">
      <c r="A86" s="17"/>
      <c r="B86" s="17"/>
      <c r="C86" s="29" t="s">
        <v>107</v>
      </c>
      <c r="D86" s="27" t="s">
        <v>173</v>
      </c>
      <c r="E86" s="28">
        <v>2</v>
      </c>
      <c r="F86" s="29">
        <v>2</v>
      </c>
      <c r="G86" s="29">
        <v>0</v>
      </c>
      <c r="H86" s="16"/>
      <c r="I86" s="16"/>
      <c r="J86" s="16"/>
      <c r="K86" s="16"/>
      <c r="L86" s="16"/>
      <c r="M86" s="16"/>
      <c r="N86" s="16"/>
      <c r="O86" s="16"/>
      <c r="P86" s="16"/>
      <c r="Q86" s="16"/>
      <c r="R86" s="18"/>
    </row>
    <row r="87" spans="1:18" ht="33.75" customHeight="1" x14ac:dyDescent="0.25">
      <c r="A87" s="17"/>
      <c r="B87" s="17"/>
      <c r="C87" s="29" t="s">
        <v>108</v>
      </c>
      <c r="D87" s="27" t="s">
        <v>138</v>
      </c>
      <c r="E87" s="29">
        <v>1</v>
      </c>
      <c r="F87" s="29">
        <v>0</v>
      </c>
      <c r="G87" s="29">
        <v>0</v>
      </c>
      <c r="H87" s="16"/>
      <c r="I87" s="16"/>
      <c r="J87" s="16"/>
      <c r="K87" s="16"/>
      <c r="L87" s="16"/>
      <c r="M87" s="16"/>
      <c r="N87" s="16"/>
      <c r="O87" s="16"/>
      <c r="P87" s="16"/>
      <c r="Q87" s="16"/>
      <c r="R87" s="18"/>
    </row>
    <row r="88" spans="1:18" ht="66" customHeight="1" x14ac:dyDescent="0.25">
      <c r="A88" s="37" t="s">
        <v>109</v>
      </c>
      <c r="B88" s="58" t="s">
        <v>174</v>
      </c>
      <c r="C88" s="29" t="s">
        <v>99</v>
      </c>
      <c r="D88" s="15" t="s">
        <v>171</v>
      </c>
      <c r="E88" s="35">
        <v>45383.5</v>
      </c>
      <c r="F88" s="16"/>
      <c r="G88" s="82">
        <v>45383.5</v>
      </c>
      <c r="H88" s="25">
        <v>2018</v>
      </c>
      <c r="I88" s="25">
        <v>2021</v>
      </c>
      <c r="J88" s="80" t="s">
        <v>68</v>
      </c>
      <c r="K88" s="76" t="s">
        <v>223</v>
      </c>
      <c r="L88" s="88">
        <f>M88+N88</f>
        <v>2502181</v>
      </c>
      <c r="M88" s="88">
        <f>2126853.84+187663.58</f>
        <v>2314517.42</v>
      </c>
      <c r="N88" s="74">
        <v>187663.58</v>
      </c>
      <c r="O88" s="90">
        <f>L88</f>
        <v>2502181</v>
      </c>
      <c r="P88" s="74">
        <f>M88</f>
        <v>2314517.42</v>
      </c>
      <c r="Q88" s="74">
        <f>N88</f>
        <v>187663.58</v>
      </c>
      <c r="R88" s="99" t="s">
        <v>247</v>
      </c>
    </row>
    <row r="89" spans="1:18" ht="54.75" customHeight="1" x14ac:dyDescent="0.25">
      <c r="A89" s="37" t="s">
        <v>110</v>
      </c>
      <c r="B89" s="56" t="s">
        <v>175</v>
      </c>
      <c r="C89" s="29" t="s">
        <v>99</v>
      </c>
      <c r="D89" s="15" t="s">
        <v>176</v>
      </c>
      <c r="E89" s="34">
        <v>155697</v>
      </c>
      <c r="F89" s="16"/>
      <c r="G89" s="49">
        <v>0</v>
      </c>
      <c r="H89" s="25">
        <v>2017</v>
      </c>
      <c r="I89" s="25">
        <v>2021</v>
      </c>
      <c r="J89" s="25" t="s">
        <v>67</v>
      </c>
      <c r="K89" s="76" t="s">
        <v>224</v>
      </c>
      <c r="L89" s="74">
        <v>1208796.3799999999</v>
      </c>
      <c r="M89" s="74">
        <f>825976.28+72880.26</f>
        <v>898856.54</v>
      </c>
      <c r="N89" s="74">
        <v>309939.84000000003</v>
      </c>
      <c r="O89" s="90">
        <f>+P89+Q89</f>
        <v>988986.65</v>
      </c>
      <c r="P89" s="77">
        <f>349755.2+390496.17+34463.12</f>
        <v>774714.49</v>
      </c>
      <c r="Q89" s="100">
        <f>37845.31+87173.3+59253.55+30000</f>
        <v>214272.16</v>
      </c>
      <c r="R89" s="21" t="s">
        <v>246</v>
      </c>
    </row>
    <row r="90" spans="1:18" ht="57.75" customHeight="1" x14ac:dyDescent="0.25">
      <c r="A90" s="37" t="s">
        <v>111</v>
      </c>
      <c r="B90" s="58" t="s">
        <v>190</v>
      </c>
      <c r="C90" s="29" t="s">
        <v>100</v>
      </c>
      <c r="D90" s="27" t="s">
        <v>178</v>
      </c>
      <c r="E90" s="50">
        <v>7256.8</v>
      </c>
      <c r="F90" s="51"/>
      <c r="G90" s="50">
        <v>7256.8</v>
      </c>
      <c r="H90" s="25">
        <v>2017</v>
      </c>
      <c r="I90" s="25">
        <v>2018</v>
      </c>
      <c r="J90" s="80" t="s">
        <v>68</v>
      </c>
      <c r="K90" s="76" t="s">
        <v>225</v>
      </c>
      <c r="L90" s="74">
        <v>15772939.59</v>
      </c>
      <c r="M90" s="74">
        <f>11564519+1020399</f>
        <v>12584918</v>
      </c>
      <c r="N90" s="74">
        <v>3188021.59</v>
      </c>
      <c r="O90" s="74">
        <f t="shared" ref="O90:Q91" si="1">L90</f>
        <v>15772939.59</v>
      </c>
      <c r="P90" s="74">
        <f t="shared" si="1"/>
        <v>12584918</v>
      </c>
      <c r="Q90" s="74">
        <f t="shared" si="1"/>
        <v>3188021.59</v>
      </c>
      <c r="R90" s="21" t="s">
        <v>244</v>
      </c>
    </row>
    <row r="91" spans="1:18" ht="75.75" customHeight="1" x14ac:dyDescent="0.25">
      <c r="A91" s="37" t="s">
        <v>112</v>
      </c>
      <c r="B91" s="58" t="s">
        <v>177</v>
      </c>
      <c r="C91" s="29" t="s">
        <v>102</v>
      </c>
      <c r="D91" s="27" t="s">
        <v>178</v>
      </c>
      <c r="E91" s="35">
        <v>1219.07</v>
      </c>
      <c r="F91" s="32"/>
      <c r="G91" s="82">
        <f>3924.19-G93</f>
        <v>1219.0700000000002</v>
      </c>
      <c r="H91" s="25">
        <v>2019</v>
      </c>
      <c r="I91" s="25">
        <v>2021</v>
      </c>
      <c r="J91" s="81" t="s">
        <v>68</v>
      </c>
      <c r="K91" s="76" t="s">
        <v>226</v>
      </c>
      <c r="L91" s="74">
        <f>M91+N91</f>
        <v>1522181.3199999998</v>
      </c>
      <c r="M91" s="74">
        <f>1154588.66+101875.48</f>
        <v>1256464.1399999999</v>
      </c>
      <c r="N91" s="101">
        <v>265717.18</v>
      </c>
      <c r="O91" s="74">
        <f t="shared" si="1"/>
        <v>1522181.3199999998</v>
      </c>
      <c r="P91" s="74">
        <f t="shared" si="1"/>
        <v>1256464.1399999999</v>
      </c>
      <c r="Q91" s="74">
        <f t="shared" si="1"/>
        <v>265717.18</v>
      </c>
      <c r="R91" s="21" t="s">
        <v>247</v>
      </c>
    </row>
    <row r="92" spans="1:18" ht="47.25" customHeight="1" x14ac:dyDescent="0.25">
      <c r="A92" s="118" t="s">
        <v>113</v>
      </c>
      <c r="B92" s="120" t="s">
        <v>179</v>
      </c>
      <c r="C92" s="29" t="s">
        <v>99</v>
      </c>
      <c r="D92" s="15" t="s">
        <v>171</v>
      </c>
      <c r="E92" s="52">
        <v>17613</v>
      </c>
      <c r="F92" s="32"/>
      <c r="G92" s="34">
        <v>17613</v>
      </c>
      <c r="H92" s="122">
        <v>2017</v>
      </c>
      <c r="I92" s="122">
        <v>2021</v>
      </c>
      <c r="J92" s="157" t="s">
        <v>68</v>
      </c>
      <c r="K92" s="122" t="s">
        <v>66</v>
      </c>
      <c r="L92" s="128">
        <v>3076108</v>
      </c>
      <c r="M92" s="128"/>
      <c r="N92" s="128">
        <f>L92</f>
        <v>3076108</v>
      </c>
      <c r="O92" s="128">
        <f>Q92</f>
        <v>4879919.03</v>
      </c>
      <c r="P92" s="128"/>
      <c r="Q92" s="128">
        <f>4313602.48+501200+65116.55</f>
        <v>4879919.03</v>
      </c>
      <c r="R92" s="182" t="s">
        <v>247</v>
      </c>
    </row>
    <row r="93" spans="1:18" ht="55.5" customHeight="1" x14ac:dyDescent="0.25">
      <c r="A93" s="119"/>
      <c r="B93" s="121"/>
      <c r="C93" s="29" t="s">
        <v>100</v>
      </c>
      <c r="D93" s="27" t="s">
        <v>178</v>
      </c>
      <c r="E93" s="35">
        <v>2705.12</v>
      </c>
      <c r="F93" s="16"/>
      <c r="G93" s="35">
        <v>2705.12</v>
      </c>
      <c r="H93" s="123"/>
      <c r="I93" s="123"/>
      <c r="J93" s="121"/>
      <c r="K93" s="123"/>
      <c r="L93" s="129"/>
      <c r="M93" s="129"/>
      <c r="N93" s="129"/>
      <c r="O93" s="130"/>
      <c r="P93" s="130"/>
      <c r="Q93" s="130"/>
      <c r="R93" s="183"/>
    </row>
    <row r="94" spans="1:18" ht="51.75" customHeight="1" x14ac:dyDescent="0.25">
      <c r="A94" s="37" t="s">
        <v>116</v>
      </c>
      <c r="B94" s="57" t="s">
        <v>180</v>
      </c>
      <c r="C94" s="29" t="s">
        <v>99</v>
      </c>
      <c r="D94" s="15" t="s">
        <v>171</v>
      </c>
      <c r="E94" s="34">
        <v>104492</v>
      </c>
      <c r="F94" s="16"/>
      <c r="G94" s="20">
        <v>0</v>
      </c>
      <c r="H94" s="25">
        <v>2020</v>
      </c>
      <c r="I94" s="25">
        <v>2023</v>
      </c>
      <c r="J94" s="25" t="s">
        <v>67</v>
      </c>
      <c r="K94" s="76" t="s">
        <v>226</v>
      </c>
      <c r="L94" s="31">
        <v>5647199.4900000002</v>
      </c>
      <c r="M94" s="31">
        <f>4674992.5+412499.34</f>
        <v>5087491.84</v>
      </c>
      <c r="N94" s="31">
        <f>559707.65</f>
        <v>559707.65</v>
      </c>
      <c r="O94" s="74">
        <v>3894770.61</v>
      </c>
      <c r="P94" s="74">
        <f>M94-1004300-398800-88600-35300</f>
        <v>3560491.84</v>
      </c>
      <c r="Q94" s="74">
        <f>O94-P94</f>
        <v>334278.77</v>
      </c>
      <c r="R94" s="21" t="s">
        <v>245</v>
      </c>
    </row>
    <row r="95" spans="1:18" ht="76.5" customHeight="1" x14ac:dyDescent="0.25">
      <c r="A95" s="37" t="s">
        <v>115</v>
      </c>
      <c r="B95" s="56" t="s">
        <v>181</v>
      </c>
      <c r="C95" s="29" t="s">
        <v>101</v>
      </c>
      <c r="D95" s="27" t="s">
        <v>182</v>
      </c>
      <c r="E95" s="34">
        <v>9600</v>
      </c>
      <c r="F95" s="51"/>
      <c r="G95" s="34">
        <v>0</v>
      </c>
      <c r="H95" s="25">
        <v>2017</v>
      </c>
      <c r="I95" s="25">
        <v>2023</v>
      </c>
      <c r="J95" s="25" t="s">
        <v>67</v>
      </c>
      <c r="K95" s="25" t="s">
        <v>227</v>
      </c>
      <c r="L95" s="31">
        <v>7164638.5899999999</v>
      </c>
      <c r="M95" s="31">
        <f>5928481.81</f>
        <v>5928481.8099999996</v>
      </c>
      <c r="N95" s="31">
        <f>931878.29+304278.49</f>
        <v>1236156.78</v>
      </c>
      <c r="O95" s="74">
        <f>P95+Q95</f>
        <v>5172394.2700000005</v>
      </c>
      <c r="P95" s="77">
        <v>4461802.9000000004</v>
      </c>
      <c r="Q95" s="74">
        <v>710591.37</v>
      </c>
      <c r="R95" s="21" t="s">
        <v>256</v>
      </c>
    </row>
    <row r="96" spans="1:18" ht="63" customHeight="1" x14ac:dyDescent="0.25">
      <c r="A96" s="37" t="s">
        <v>117</v>
      </c>
      <c r="B96" s="65" t="s">
        <v>183</v>
      </c>
      <c r="C96" s="29" t="s">
        <v>107</v>
      </c>
      <c r="D96" s="27" t="s">
        <v>173</v>
      </c>
      <c r="E96" s="34">
        <v>1</v>
      </c>
      <c r="F96" s="32"/>
      <c r="G96" s="49">
        <v>0</v>
      </c>
      <c r="H96" s="25">
        <v>2018</v>
      </c>
      <c r="I96" s="25">
        <v>2022</v>
      </c>
      <c r="J96" s="49" t="s">
        <v>67</v>
      </c>
      <c r="K96" s="76" t="s">
        <v>228</v>
      </c>
      <c r="L96" s="74">
        <v>1961723.02</v>
      </c>
      <c r="M96" s="74">
        <v>1198462</v>
      </c>
      <c r="N96" s="101">
        <v>763261.02</v>
      </c>
      <c r="O96" s="102">
        <f>P96+Q96</f>
        <v>1746467.4</v>
      </c>
      <c r="P96" s="102">
        <v>1129217.75</v>
      </c>
      <c r="Q96" s="102">
        <v>617249.65</v>
      </c>
      <c r="R96" s="21" t="s">
        <v>255</v>
      </c>
    </row>
    <row r="97" spans="1:18" ht="70.5" customHeight="1" x14ac:dyDescent="0.25">
      <c r="A97" s="37" t="s">
        <v>118</v>
      </c>
      <c r="B97" s="65" t="s">
        <v>186</v>
      </c>
      <c r="C97" s="29" t="s">
        <v>104</v>
      </c>
      <c r="D97" s="27" t="s">
        <v>201</v>
      </c>
      <c r="E97" s="29">
        <v>800</v>
      </c>
      <c r="F97" s="32"/>
      <c r="G97" s="49">
        <v>0</v>
      </c>
      <c r="H97" s="25">
        <v>2018</v>
      </c>
      <c r="I97" s="25">
        <v>2022</v>
      </c>
      <c r="J97" s="49" t="s">
        <v>67</v>
      </c>
      <c r="K97" s="25" t="s">
        <v>229</v>
      </c>
      <c r="L97" s="74">
        <v>644410</v>
      </c>
      <c r="M97" s="74">
        <v>547750</v>
      </c>
      <c r="N97" s="103">
        <v>96660</v>
      </c>
      <c r="O97" s="102">
        <f>P97+Q97</f>
        <v>676704.86</v>
      </c>
      <c r="P97" s="102">
        <v>542811.31999999995</v>
      </c>
      <c r="Q97" s="102">
        <v>133893.54</v>
      </c>
      <c r="R97" s="104" t="s">
        <v>281</v>
      </c>
    </row>
    <row r="98" spans="1:18" ht="53.25" customHeight="1" x14ac:dyDescent="0.25">
      <c r="A98" s="118" t="s">
        <v>119</v>
      </c>
      <c r="B98" s="120" t="s">
        <v>184</v>
      </c>
      <c r="C98" s="29" t="s">
        <v>102</v>
      </c>
      <c r="D98" s="27" t="s">
        <v>172</v>
      </c>
      <c r="E98" s="29">
        <v>1</v>
      </c>
      <c r="F98" s="32"/>
      <c r="G98" s="49">
        <v>1</v>
      </c>
      <c r="H98" s="122">
        <v>2017</v>
      </c>
      <c r="I98" s="122">
        <v>2019</v>
      </c>
      <c r="J98" s="176" t="s">
        <v>68</v>
      </c>
      <c r="K98" s="122" t="s">
        <v>230</v>
      </c>
      <c r="L98" s="128">
        <v>469549.03</v>
      </c>
      <c r="M98" s="128">
        <v>388732.4</v>
      </c>
      <c r="N98" s="173">
        <v>80816.63</v>
      </c>
      <c r="O98" s="128">
        <f>L98</f>
        <v>469549.03</v>
      </c>
      <c r="P98" s="128">
        <f>M98</f>
        <v>388732.4</v>
      </c>
      <c r="Q98" s="173">
        <f>N98</f>
        <v>80816.63</v>
      </c>
      <c r="R98" s="182" t="s">
        <v>191</v>
      </c>
    </row>
    <row r="99" spans="1:18" ht="50.25" customHeight="1" x14ac:dyDescent="0.25">
      <c r="A99" s="171"/>
      <c r="B99" s="175"/>
      <c r="C99" s="29" t="s">
        <v>103</v>
      </c>
      <c r="D99" s="27" t="s">
        <v>185</v>
      </c>
      <c r="E99" s="48">
        <v>50</v>
      </c>
      <c r="F99" s="32"/>
      <c r="G99" s="49">
        <v>50</v>
      </c>
      <c r="H99" s="171"/>
      <c r="I99" s="171"/>
      <c r="J99" s="177"/>
      <c r="K99" s="171"/>
      <c r="L99" s="172"/>
      <c r="M99" s="172"/>
      <c r="N99" s="174"/>
      <c r="O99" s="172"/>
      <c r="P99" s="172"/>
      <c r="Q99" s="174"/>
      <c r="R99" s="183"/>
    </row>
    <row r="100" spans="1:18" ht="45" customHeight="1" x14ac:dyDescent="0.25">
      <c r="A100" s="118" t="s">
        <v>120</v>
      </c>
      <c r="B100" s="179" t="s">
        <v>192</v>
      </c>
      <c r="C100" s="29" t="s">
        <v>102</v>
      </c>
      <c r="D100" s="27" t="s">
        <v>172</v>
      </c>
      <c r="E100" s="29">
        <v>1</v>
      </c>
      <c r="F100" s="32"/>
      <c r="G100" s="49">
        <v>0</v>
      </c>
      <c r="H100" s="122">
        <v>2017</v>
      </c>
      <c r="I100" s="122">
        <v>2022</v>
      </c>
      <c r="J100" s="180" t="s">
        <v>67</v>
      </c>
      <c r="K100" s="122" t="s">
        <v>231</v>
      </c>
      <c r="L100" s="128">
        <v>388569.84</v>
      </c>
      <c r="M100" s="128">
        <v>330284.36</v>
      </c>
      <c r="N100" s="173">
        <v>58285.48</v>
      </c>
      <c r="O100" s="128">
        <f>P100+Q100</f>
        <v>279946.07</v>
      </c>
      <c r="P100" s="128">
        <v>226963.92</v>
      </c>
      <c r="Q100" s="184">
        <v>52982.15</v>
      </c>
      <c r="R100" s="186" t="s">
        <v>261</v>
      </c>
    </row>
    <row r="101" spans="1:18" ht="59.25" customHeight="1" x14ac:dyDescent="0.25">
      <c r="A101" s="171"/>
      <c r="B101" s="119"/>
      <c r="C101" s="29" t="s">
        <v>103</v>
      </c>
      <c r="D101" s="27" t="s">
        <v>185</v>
      </c>
      <c r="E101" s="48">
        <v>50</v>
      </c>
      <c r="F101" s="32"/>
      <c r="G101" s="49">
        <v>0</v>
      </c>
      <c r="H101" s="171"/>
      <c r="I101" s="171"/>
      <c r="J101" s="171"/>
      <c r="K101" s="171"/>
      <c r="L101" s="172"/>
      <c r="M101" s="172"/>
      <c r="N101" s="174"/>
      <c r="O101" s="181"/>
      <c r="P101" s="181"/>
      <c r="Q101" s="185"/>
      <c r="R101" s="187"/>
    </row>
    <row r="102" spans="1:18" ht="54.75" customHeight="1" x14ac:dyDescent="0.25">
      <c r="A102" s="37" t="s">
        <v>122</v>
      </c>
      <c r="B102" s="56" t="s">
        <v>193</v>
      </c>
      <c r="C102" s="29" t="s">
        <v>105</v>
      </c>
      <c r="D102" s="27" t="s">
        <v>133</v>
      </c>
      <c r="E102" s="29">
        <v>0.8</v>
      </c>
      <c r="F102" s="32"/>
      <c r="G102" s="49">
        <v>0</v>
      </c>
      <c r="H102" s="25">
        <v>2017</v>
      </c>
      <c r="I102" s="25">
        <v>2023</v>
      </c>
      <c r="J102" s="49" t="s">
        <v>121</v>
      </c>
      <c r="K102" s="25" t="s">
        <v>66</v>
      </c>
      <c r="L102" s="74">
        <v>594010</v>
      </c>
      <c r="M102" s="74"/>
      <c r="N102" s="101">
        <v>594010</v>
      </c>
      <c r="O102" s="74"/>
      <c r="P102" s="78"/>
      <c r="Q102" s="74"/>
      <c r="R102" s="21" t="s">
        <v>194</v>
      </c>
    </row>
    <row r="103" spans="1:18" ht="72" customHeight="1" x14ac:dyDescent="0.25">
      <c r="A103" s="37" t="s">
        <v>123</v>
      </c>
      <c r="B103" s="58" t="s">
        <v>187</v>
      </c>
      <c r="C103" s="29" t="s">
        <v>126</v>
      </c>
      <c r="D103" s="15" t="s">
        <v>188</v>
      </c>
      <c r="E103" s="53">
        <v>100</v>
      </c>
      <c r="F103" s="32"/>
      <c r="G103" s="49">
        <v>100</v>
      </c>
      <c r="H103" s="25">
        <v>2016</v>
      </c>
      <c r="I103" s="25">
        <v>2017</v>
      </c>
      <c r="J103" s="83" t="s">
        <v>68</v>
      </c>
      <c r="K103" s="25" t="s">
        <v>66</v>
      </c>
      <c r="L103" s="74">
        <v>500000</v>
      </c>
      <c r="M103" s="74">
        <v>500000</v>
      </c>
      <c r="N103" s="103"/>
      <c r="O103" s="74">
        <f>M103</f>
        <v>500000</v>
      </c>
      <c r="P103" s="74">
        <f>O103</f>
        <v>500000</v>
      </c>
      <c r="Q103" s="74"/>
      <c r="R103" s="21" t="s">
        <v>195</v>
      </c>
    </row>
    <row r="104" spans="1:18" ht="74.25" customHeight="1" x14ac:dyDescent="0.25">
      <c r="A104" s="37" t="s">
        <v>124</v>
      </c>
      <c r="B104" s="65" t="s">
        <v>189</v>
      </c>
      <c r="C104" s="29" t="s">
        <v>108</v>
      </c>
      <c r="D104" s="15" t="s">
        <v>138</v>
      </c>
      <c r="E104" s="29">
        <v>1</v>
      </c>
      <c r="F104" s="32"/>
      <c r="G104" s="49">
        <v>0</v>
      </c>
      <c r="H104" s="25">
        <v>2019</v>
      </c>
      <c r="I104" s="25">
        <v>2023</v>
      </c>
      <c r="J104" s="49" t="s">
        <v>67</v>
      </c>
      <c r="K104" s="25" t="s">
        <v>66</v>
      </c>
      <c r="L104" s="74">
        <v>100000</v>
      </c>
      <c r="M104" s="74"/>
      <c r="N104" s="103">
        <v>100000</v>
      </c>
      <c r="O104" s="74">
        <v>50000</v>
      </c>
      <c r="P104" s="78"/>
      <c r="Q104" s="74">
        <v>50000</v>
      </c>
      <c r="R104" s="21" t="s">
        <v>242</v>
      </c>
    </row>
    <row r="105" spans="1:18" ht="87.75" customHeight="1" x14ac:dyDescent="0.25">
      <c r="A105" s="37" t="s">
        <v>125</v>
      </c>
      <c r="B105" s="65" t="s">
        <v>196</v>
      </c>
      <c r="C105" s="29" t="s">
        <v>107</v>
      </c>
      <c r="D105" s="27" t="s">
        <v>173</v>
      </c>
      <c r="E105" s="28">
        <v>1</v>
      </c>
      <c r="F105" s="32"/>
      <c r="G105" s="49">
        <v>0</v>
      </c>
      <c r="H105" s="25">
        <v>2018</v>
      </c>
      <c r="I105" s="25">
        <v>2022</v>
      </c>
      <c r="J105" s="49" t="s">
        <v>67</v>
      </c>
      <c r="K105" s="76" t="s">
        <v>232</v>
      </c>
      <c r="L105" s="74">
        <v>710529</v>
      </c>
      <c r="M105" s="74">
        <v>500000</v>
      </c>
      <c r="N105" s="103">
        <f>122294+88235</f>
        <v>210529</v>
      </c>
      <c r="O105" s="74">
        <v>617703.81999999995</v>
      </c>
      <c r="P105" s="74">
        <v>486676.66</v>
      </c>
      <c r="Q105" s="74">
        <v>131027.16</v>
      </c>
      <c r="R105" s="21" t="s">
        <v>243</v>
      </c>
    </row>
    <row r="106" spans="1:18" ht="15" customHeight="1" x14ac:dyDescent="0.25">
      <c r="A106" s="111" t="s">
        <v>209</v>
      </c>
      <c r="B106" s="112"/>
      <c r="C106" s="112"/>
      <c r="D106" s="112"/>
      <c r="E106" s="112"/>
      <c r="F106" s="112"/>
      <c r="G106" s="112"/>
      <c r="H106" s="112"/>
      <c r="I106" s="112"/>
      <c r="J106" s="112"/>
      <c r="K106" s="113"/>
      <c r="L106" s="67">
        <f t="shared" ref="L106:Q106" si="2">SUM(L88:L105)</f>
        <v>42262835.260000013</v>
      </c>
      <c r="M106" s="67">
        <f t="shared" si="2"/>
        <v>31535958.509999998</v>
      </c>
      <c r="N106" s="68">
        <f t="shared" si="2"/>
        <v>10726876.75</v>
      </c>
      <c r="O106" s="67">
        <f t="shared" si="2"/>
        <v>39073743.649999999</v>
      </c>
      <c r="P106" s="67">
        <f t="shared" si="2"/>
        <v>28227310.84</v>
      </c>
      <c r="Q106" s="67">
        <f t="shared" si="2"/>
        <v>10846432.810000001</v>
      </c>
      <c r="R106" s="69"/>
    </row>
    <row r="107" spans="1:18" s="73" customFormat="1" ht="15" customHeight="1" x14ac:dyDescent="0.25">
      <c r="A107" s="178" t="s">
        <v>210</v>
      </c>
      <c r="B107" s="112"/>
      <c r="C107" s="112"/>
      <c r="D107" s="112"/>
      <c r="E107" s="112"/>
      <c r="F107" s="112"/>
      <c r="G107" s="112"/>
      <c r="H107" s="112"/>
      <c r="I107" s="112"/>
      <c r="J107" s="112"/>
      <c r="K107" s="113"/>
      <c r="L107" s="71">
        <f t="shared" ref="L107:Q107" si="3">L106+L76+L63</f>
        <v>119581840.26000002</v>
      </c>
      <c r="M107" s="72">
        <f t="shared" si="3"/>
        <v>84365014.460000008</v>
      </c>
      <c r="N107" s="72">
        <f t="shared" si="3"/>
        <v>35216825.799999997</v>
      </c>
      <c r="O107" s="72">
        <f t="shared" si="3"/>
        <v>97532348.069999993</v>
      </c>
      <c r="P107" s="72">
        <f t="shared" si="3"/>
        <v>75258228.639999986</v>
      </c>
      <c r="Q107" s="72">
        <f t="shared" si="3"/>
        <v>32738317.590000004</v>
      </c>
      <c r="R107" s="70"/>
    </row>
    <row r="108" spans="1:18" ht="37.5" customHeight="1" x14ac:dyDescent="0.25">
      <c r="A108" s="147" t="s">
        <v>24</v>
      </c>
      <c r="B108" s="148"/>
      <c r="C108" s="148"/>
      <c r="D108" s="148"/>
      <c r="E108" s="148"/>
      <c r="F108" s="148"/>
      <c r="G108" s="148"/>
      <c r="H108" s="148"/>
      <c r="I108" s="148"/>
      <c r="J108" s="148"/>
      <c r="K108" s="148"/>
      <c r="L108" s="148"/>
      <c r="M108" s="148"/>
      <c r="N108" s="148"/>
      <c r="O108" s="148"/>
      <c r="P108" s="148"/>
      <c r="Q108" s="148"/>
      <c r="R108" s="148"/>
    </row>
    <row r="109" spans="1:18" ht="27" customHeight="1" x14ac:dyDescent="0.25">
      <c r="A109" s="147" t="s">
        <v>40</v>
      </c>
      <c r="B109" s="148"/>
      <c r="C109" s="148"/>
      <c r="D109" s="148"/>
      <c r="E109" s="148"/>
      <c r="F109" s="148"/>
      <c r="G109" s="148"/>
      <c r="H109" s="148"/>
      <c r="I109" s="148"/>
      <c r="J109" s="148"/>
      <c r="K109" s="148"/>
      <c r="L109" s="148"/>
      <c r="M109" s="148"/>
      <c r="N109" s="148"/>
      <c r="O109" s="148"/>
      <c r="P109" s="148"/>
      <c r="Q109" s="148"/>
      <c r="R109" s="148"/>
    </row>
    <row r="110" spans="1:18" ht="38.25" customHeight="1" x14ac:dyDescent="0.25">
      <c r="A110" s="160" t="s">
        <v>41</v>
      </c>
      <c r="B110" s="161"/>
      <c r="C110" s="161"/>
      <c r="D110" s="161"/>
      <c r="E110" s="161"/>
      <c r="F110" s="161"/>
      <c r="G110" s="161"/>
      <c r="H110" s="161"/>
      <c r="I110" s="161"/>
      <c r="J110" s="161"/>
      <c r="K110" s="161"/>
      <c r="L110" s="161"/>
      <c r="M110" s="161"/>
      <c r="N110" s="161"/>
      <c r="O110" s="161"/>
      <c r="P110" s="161"/>
      <c r="Q110" s="161"/>
      <c r="R110" s="161"/>
    </row>
    <row r="111" spans="1:18" ht="27" customHeight="1" x14ac:dyDescent="0.25">
      <c r="A111" s="160" t="s">
        <v>42</v>
      </c>
      <c r="B111" s="161"/>
      <c r="C111" s="161"/>
      <c r="D111" s="161"/>
      <c r="E111" s="161"/>
      <c r="F111" s="161"/>
      <c r="G111" s="161"/>
      <c r="H111" s="161"/>
      <c r="I111" s="161"/>
      <c r="J111" s="161"/>
      <c r="K111" s="161"/>
      <c r="L111" s="161"/>
      <c r="M111" s="161"/>
      <c r="N111" s="161"/>
      <c r="O111" s="161"/>
      <c r="P111" s="161"/>
      <c r="Q111" s="161"/>
      <c r="R111" s="161"/>
    </row>
    <row r="112" spans="1:18" ht="18.75" customHeight="1" x14ac:dyDescent="0.25">
      <c r="A112" s="160" t="s">
        <v>30</v>
      </c>
      <c r="B112" s="161"/>
      <c r="C112" s="161"/>
      <c r="D112" s="161"/>
      <c r="E112" s="161"/>
      <c r="F112" s="161"/>
      <c r="G112" s="161"/>
      <c r="H112" s="161"/>
      <c r="I112" s="161"/>
      <c r="J112" s="161"/>
      <c r="K112" s="161"/>
      <c r="L112" s="161"/>
      <c r="M112" s="161"/>
      <c r="N112" s="161"/>
      <c r="O112" s="161"/>
      <c r="P112" s="161"/>
      <c r="Q112" s="161"/>
      <c r="R112" s="161"/>
    </row>
    <row r="113" spans="1:18" ht="27" customHeight="1" x14ac:dyDescent="0.25">
      <c r="A113" s="160" t="s">
        <v>43</v>
      </c>
      <c r="B113" s="161"/>
      <c r="C113" s="161"/>
      <c r="D113" s="161"/>
      <c r="E113" s="161"/>
      <c r="F113" s="161"/>
      <c r="G113" s="161"/>
      <c r="H113" s="161"/>
      <c r="I113" s="161"/>
      <c r="J113" s="161"/>
      <c r="K113" s="161"/>
      <c r="L113" s="161"/>
      <c r="M113" s="161"/>
      <c r="N113" s="161"/>
      <c r="O113" s="161"/>
      <c r="P113" s="161"/>
      <c r="Q113" s="161"/>
      <c r="R113" s="161"/>
    </row>
    <row r="114" spans="1:18" ht="48" customHeight="1" x14ac:dyDescent="0.25">
      <c r="A114" s="9"/>
      <c r="B114" s="9"/>
      <c r="C114" s="9"/>
      <c r="D114" s="9"/>
      <c r="E114" s="9"/>
      <c r="F114" s="9"/>
      <c r="G114" s="9"/>
      <c r="H114" s="9"/>
      <c r="I114" s="9"/>
      <c r="J114" s="9"/>
      <c r="K114" s="9"/>
      <c r="L114" s="105"/>
      <c r="M114" s="105"/>
      <c r="N114" s="105"/>
      <c r="O114" s="105"/>
      <c r="P114" s="105"/>
      <c r="Q114" s="105"/>
      <c r="R114" s="105"/>
    </row>
    <row r="115" spans="1:18" ht="15.75" x14ac:dyDescent="0.25">
      <c r="A115" s="6"/>
      <c r="L115" s="73"/>
      <c r="M115" s="73"/>
      <c r="N115" s="73"/>
      <c r="O115" s="106"/>
      <c r="P115" s="107"/>
      <c r="Q115" s="73"/>
      <c r="R115" s="73"/>
    </row>
    <row r="116" spans="1:18" x14ac:dyDescent="0.25">
      <c r="L116" s="73"/>
      <c r="M116" s="73"/>
      <c r="N116" s="73"/>
      <c r="O116" s="73"/>
      <c r="P116" s="73"/>
      <c r="Q116" s="73"/>
      <c r="R116" s="73"/>
    </row>
    <row r="117" spans="1:18" x14ac:dyDescent="0.25">
      <c r="L117" s="73"/>
      <c r="M117" s="73"/>
      <c r="N117" s="107"/>
      <c r="O117" s="107"/>
      <c r="P117" s="107"/>
      <c r="Q117" s="107"/>
      <c r="R117" s="73"/>
    </row>
    <row r="118" spans="1:18" x14ac:dyDescent="0.25">
      <c r="L118" s="73"/>
      <c r="M118" s="73"/>
      <c r="N118" s="107"/>
      <c r="O118" s="107"/>
      <c r="P118" s="107"/>
      <c r="Q118" s="107"/>
      <c r="R118" s="73"/>
    </row>
    <row r="119" spans="1:18" x14ac:dyDescent="0.25">
      <c r="L119" s="73"/>
      <c r="M119" s="73"/>
      <c r="N119" s="107"/>
      <c r="O119" s="107"/>
      <c r="P119" s="107"/>
      <c r="Q119" s="107"/>
      <c r="R119" s="73"/>
    </row>
    <row r="120" spans="1:18" x14ac:dyDescent="0.25">
      <c r="L120" s="73"/>
      <c r="M120" s="73"/>
      <c r="N120" s="73"/>
      <c r="O120" s="73"/>
      <c r="P120" s="107"/>
      <c r="Q120" s="73"/>
      <c r="R120" s="73"/>
    </row>
    <row r="121" spans="1:18" x14ac:dyDescent="0.25">
      <c r="L121" s="73"/>
      <c r="M121" s="73"/>
      <c r="N121" s="73"/>
      <c r="O121" s="73"/>
      <c r="P121" s="73"/>
      <c r="Q121" s="73"/>
      <c r="R121" s="73"/>
    </row>
  </sheetData>
  <mergeCells count="95">
    <mergeCell ref="P98:P99"/>
    <mergeCell ref="Q98:Q99"/>
    <mergeCell ref="R98:R99"/>
    <mergeCell ref="L92:L93"/>
    <mergeCell ref="P100:P101"/>
    <mergeCell ref="Q100:Q101"/>
    <mergeCell ref="R100:R101"/>
    <mergeCell ref="Q92:Q93"/>
    <mergeCell ref="R92:R93"/>
    <mergeCell ref="K100:K101"/>
    <mergeCell ref="L100:L101"/>
    <mergeCell ref="M100:M101"/>
    <mergeCell ref="N100:N101"/>
    <mergeCell ref="A113:R113"/>
    <mergeCell ref="A111:R111"/>
    <mergeCell ref="A110:R110"/>
    <mergeCell ref="A107:K107"/>
    <mergeCell ref="A100:A101"/>
    <mergeCell ref="B100:B101"/>
    <mergeCell ref="H100:H101"/>
    <mergeCell ref="I100:I101"/>
    <mergeCell ref="J100:J101"/>
    <mergeCell ref="O100:O101"/>
    <mergeCell ref="A98:A99"/>
    <mergeCell ref="B98:B99"/>
    <mergeCell ref="H98:H99"/>
    <mergeCell ref="I98:I99"/>
    <mergeCell ref="J98:J99"/>
    <mergeCell ref="K98:K99"/>
    <mergeCell ref="L98:L99"/>
    <mergeCell ref="M98:M99"/>
    <mergeCell ref="N98:N99"/>
    <mergeCell ref="O98:O99"/>
    <mergeCell ref="A6:R6"/>
    <mergeCell ref="A9:R9"/>
    <mergeCell ref="A109:R109"/>
    <mergeCell ref="A112:R112"/>
    <mergeCell ref="A28:D28"/>
    <mergeCell ref="E26:R26"/>
    <mergeCell ref="E27:R27"/>
    <mergeCell ref="E28:R28"/>
    <mergeCell ref="E18:R18"/>
    <mergeCell ref="E19:R19"/>
    <mergeCell ref="A20:R20"/>
    <mergeCell ref="E21:R21"/>
    <mergeCell ref="E17:R17"/>
    <mergeCell ref="B36:B37"/>
    <mergeCell ref="C36:G36"/>
    <mergeCell ref="L36:N36"/>
    <mergeCell ref="F5:P5"/>
    <mergeCell ref="J8:M8"/>
    <mergeCell ref="A33:R33"/>
    <mergeCell ref="A32:R32"/>
    <mergeCell ref="A108:R108"/>
    <mergeCell ref="H36:K36"/>
    <mergeCell ref="A29:R29"/>
    <mergeCell ref="A30:D30"/>
    <mergeCell ref="A31:D31"/>
    <mergeCell ref="E30:R30"/>
    <mergeCell ref="E31:R31"/>
    <mergeCell ref="E16:R16"/>
    <mergeCell ref="A7:R7"/>
    <mergeCell ref="A36:A37"/>
    <mergeCell ref="J92:J93"/>
    <mergeCell ref="K92:K93"/>
    <mergeCell ref="A15:R15"/>
    <mergeCell ref="A14:D14"/>
    <mergeCell ref="E14:R14"/>
    <mergeCell ref="A25:R25"/>
    <mergeCell ref="A26:D26"/>
    <mergeCell ref="A24:D24"/>
    <mergeCell ref="A21:D21"/>
    <mergeCell ref="A22:D22"/>
    <mergeCell ref="A23:D23"/>
    <mergeCell ref="E24:R24"/>
    <mergeCell ref="A16:D16"/>
    <mergeCell ref="A17:D17"/>
    <mergeCell ref="A18:D18"/>
    <mergeCell ref="A19:D19"/>
    <mergeCell ref="A63:K63"/>
    <mergeCell ref="A76:K76"/>
    <mergeCell ref="A106:K106"/>
    <mergeCell ref="E22:R22"/>
    <mergeCell ref="E23:R23"/>
    <mergeCell ref="A27:D27"/>
    <mergeCell ref="A92:A93"/>
    <mergeCell ref="B92:B93"/>
    <mergeCell ref="H92:H93"/>
    <mergeCell ref="I92:I93"/>
    <mergeCell ref="O36:Q36"/>
    <mergeCell ref="R36:R37"/>
    <mergeCell ref="M92:M93"/>
    <mergeCell ref="N92:N93"/>
    <mergeCell ref="O92:O93"/>
    <mergeCell ref="P92:P93"/>
  </mergeCells>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IRD prie VRM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Šarkauskaitė</dc:creator>
  <cp:lastModifiedBy>Dina Koliata</cp:lastModifiedBy>
  <cp:lastPrinted>2022-02-02T15:02:13Z</cp:lastPrinted>
  <dcterms:created xsi:type="dcterms:W3CDTF">2020-01-23T06:42:18Z</dcterms:created>
  <dcterms:modified xsi:type="dcterms:W3CDTF">2022-03-22T14:06:44Z</dcterms:modified>
</cp:coreProperties>
</file>